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sus\Desktop\Géotechnique\Calcul Excel\"/>
    </mc:Choice>
  </mc:AlternateContent>
  <xr:revisionPtr revIDLastSave="0" documentId="13_ncr:1_{F801A102-CC70-4E07-8015-88769BB7B2BF}" xr6:coauthVersionLast="47" xr6:coauthVersionMax="47" xr10:uidLastSave="{00000000-0000-0000-0000-000000000000}"/>
  <bookViews>
    <workbookView xWindow="-108" yWindow="-108" windowWidth="23256" windowHeight="11964" xr2:uid="{00000000-000D-0000-FFFF-FFFF00000000}"/>
  </bookViews>
  <sheets>
    <sheet name="Calculs" sheetId="7" r:id="rId1"/>
    <sheet name="Tableaux généraux" sheetId="3" r:id="rId2"/>
    <sheet name="Tableaux - méthode pressio" sheetId="2" r:id="rId3"/>
    <sheet name="Tableaux - méthode pénétro"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6" i="5" l="1"/>
  <c r="S66" i="5"/>
  <c r="R66" i="5"/>
  <c r="T65" i="5"/>
  <c r="S65" i="5"/>
  <c r="R65" i="5"/>
  <c r="T64" i="5"/>
  <c r="S64" i="5"/>
  <c r="R64" i="5"/>
  <c r="T63" i="5"/>
  <c r="S63" i="5"/>
  <c r="R63" i="5"/>
  <c r="T62" i="5"/>
  <c r="S62" i="5"/>
  <c r="R62" i="5"/>
  <c r="T61" i="5"/>
  <c r="S61" i="5"/>
  <c r="R61" i="5"/>
  <c r="T60" i="5"/>
  <c r="S60" i="5"/>
  <c r="R60" i="5"/>
  <c r="T59" i="5"/>
  <c r="S59" i="5"/>
  <c r="R59" i="5"/>
  <c r="T58" i="5"/>
  <c r="S58" i="5"/>
  <c r="R58" i="5"/>
  <c r="T57" i="5"/>
  <c r="S57" i="5"/>
  <c r="R57" i="5"/>
  <c r="T56" i="5"/>
  <c r="S56" i="5"/>
  <c r="R56" i="5"/>
  <c r="T55" i="5"/>
  <c r="S55" i="5"/>
  <c r="R55" i="5"/>
  <c r="T54" i="5"/>
  <c r="S54" i="5"/>
  <c r="R54" i="5"/>
  <c r="T53" i="5"/>
  <c r="S53" i="5"/>
  <c r="R53" i="5"/>
  <c r="T52" i="5"/>
  <c r="S52" i="5"/>
  <c r="R52" i="5"/>
  <c r="T51" i="5"/>
  <c r="S51" i="5"/>
  <c r="R51" i="5"/>
  <c r="T50" i="5"/>
  <c r="S50" i="5"/>
  <c r="R50" i="5"/>
  <c r="T49" i="5"/>
  <c r="S49" i="5"/>
  <c r="R49" i="5"/>
  <c r="T48" i="5"/>
  <c r="S48" i="5"/>
  <c r="R48" i="5"/>
  <c r="T47" i="5"/>
  <c r="S47" i="5"/>
  <c r="R47" i="5"/>
  <c r="T46" i="5"/>
  <c r="S46" i="5"/>
  <c r="R46" i="5"/>
  <c r="T45" i="5"/>
  <c r="S45" i="5"/>
  <c r="R45" i="5"/>
  <c r="T44" i="5"/>
  <c r="S44" i="5"/>
  <c r="R44" i="5"/>
  <c r="T43" i="5"/>
  <c r="S43" i="5"/>
  <c r="R43" i="5"/>
  <c r="T42" i="5"/>
  <c r="S42" i="5"/>
  <c r="R42" i="5"/>
  <c r="AM41" i="5"/>
  <c r="AL41" i="5"/>
  <c r="AK41" i="5"/>
  <c r="AJ41" i="5"/>
  <c r="AI41" i="5"/>
  <c r="AH41" i="5"/>
  <c r="T41" i="5"/>
  <c r="S41" i="5"/>
  <c r="R41" i="5"/>
  <c r="AM40" i="5"/>
  <c r="AL40" i="5"/>
  <c r="AK40" i="5"/>
  <c r="AJ40" i="5"/>
  <c r="AI40" i="5"/>
  <c r="AH40" i="5"/>
  <c r="T40" i="5"/>
  <c r="S40" i="5"/>
  <c r="R40" i="5"/>
  <c r="AM39" i="5"/>
  <c r="AL39" i="5"/>
  <c r="AK39" i="5"/>
  <c r="AJ39" i="5"/>
  <c r="AI39" i="5"/>
  <c r="AH39" i="5"/>
  <c r="T39" i="5"/>
  <c r="S39" i="5"/>
  <c r="R39" i="5"/>
  <c r="AM38" i="5"/>
  <c r="AL38" i="5"/>
  <c r="AK38" i="5"/>
  <c r="AJ38" i="5"/>
  <c r="AI38" i="5"/>
  <c r="AH38" i="5"/>
  <c r="T38" i="5"/>
  <c r="S38" i="5"/>
  <c r="R38" i="5"/>
  <c r="AM37" i="5"/>
  <c r="AL37" i="5"/>
  <c r="AK37" i="5"/>
  <c r="AJ37" i="5"/>
  <c r="AI37" i="5"/>
  <c r="AH37" i="5"/>
  <c r="T37" i="5"/>
  <c r="S37" i="5"/>
  <c r="R37" i="5"/>
  <c r="AG36" i="5"/>
  <c r="T36" i="5"/>
  <c r="S36" i="5"/>
  <c r="R36" i="5"/>
  <c r="T35" i="5"/>
  <c r="S35" i="5"/>
  <c r="R35" i="5"/>
  <c r="AM34" i="5"/>
  <c r="AL34" i="5"/>
  <c r="AK34" i="5"/>
  <c r="AJ34" i="5"/>
  <c r="AI34" i="5"/>
  <c r="AH34" i="5"/>
  <c r="AG34" i="5"/>
  <c r="T34" i="5"/>
  <c r="S34" i="5"/>
  <c r="R34" i="5"/>
  <c r="AM33" i="5"/>
  <c r="AL33" i="5"/>
  <c r="AK33" i="5"/>
  <c r="AJ33" i="5"/>
  <c r="AI33" i="5"/>
  <c r="AH33" i="5"/>
  <c r="AG33" i="5"/>
  <c r="T33" i="5"/>
  <c r="S33" i="5"/>
  <c r="R33" i="5"/>
  <c r="AM32" i="5"/>
  <c r="AL32" i="5"/>
  <c r="AK32" i="5"/>
  <c r="AJ32" i="5"/>
  <c r="AI32" i="5"/>
  <c r="AH32" i="5"/>
  <c r="AG32" i="5"/>
  <c r="T32" i="5"/>
  <c r="S32" i="5"/>
  <c r="R32" i="5"/>
  <c r="AM31" i="5"/>
  <c r="AL31" i="5"/>
  <c r="AK31" i="5"/>
  <c r="AJ31" i="5"/>
  <c r="AI31" i="5"/>
  <c r="AH31" i="5"/>
  <c r="AG31" i="5"/>
  <c r="T31" i="5"/>
  <c r="S31" i="5"/>
  <c r="R31" i="5"/>
  <c r="AM30" i="5"/>
  <c r="AL30" i="5"/>
  <c r="AK30" i="5"/>
  <c r="AJ30" i="5"/>
  <c r="AI30" i="5"/>
  <c r="AH30" i="5"/>
  <c r="AG30" i="5"/>
  <c r="T30" i="5"/>
  <c r="S30" i="5"/>
  <c r="R30" i="5"/>
  <c r="AM29" i="5"/>
  <c r="AL29" i="5"/>
  <c r="AK29" i="5"/>
  <c r="AJ29" i="5"/>
  <c r="AI29" i="5"/>
  <c r="AH29" i="5"/>
  <c r="AG29" i="5"/>
  <c r="T29" i="5"/>
  <c r="S29" i="5"/>
  <c r="R29" i="5"/>
  <c r="AM28" i="5"/>
  <c r="AL28" i="5"/>
  <c r="AK28" i="5"/>
  <c r="AJ28" i="5"/>
  <c r="AI28" i="5"/>
  <c r="AH28" i="5"/>
  <c r="AG28" i="5"/>
  <c r="T28" i="5"/>
  <c r="S28" i="5"/>
  <c r="R28" i="5"/>
  <c r="AM27" i="5"/>
  <c r="AL27" i="5"/>
  <c r="AK27" i="5"/>
  <c r="AJ27" i="5"/>
  <c r="AI27" i="5"/>
  <c r="AH27" i="5"/>
  <c r="AG27" i="5"/>
  <c r="T27" i="5"/>
  <c r="S27" i="5"/>
  <c r="R27" i="5"/>
  <c r="AM26" i="5"/>
  <c r="AL26" i="5"/>
  <c r="AK26" i="5"/>
  <c r="AJ26" i="5"/>
  <c r="AI26" i="5"/>
  <c r="AH26" i="5"/>
  <c r="AG26" i="5"/>
  <c r="T26" i="5"/>
  <c r="S26" i="5"/>
  <c r="R26" i="5"/>
  <c r="AR25" i="5"/>
  <c r="AQ25" i="5"/>
  <c r="AP25" i="5"/>
  <c r="AM25" i="5"/>
  <c r="AL25" i="5"/>
  <c r="AK25" i="5"/>
  <c r="AJ25" i="5"/>
  <c r="AI25" i="5"/>
  <c r="AH25" i="5"/>
  <c r="AG25" i="5"/>
  <c r="AR24" i="5"/>
  <c r="AQ24" i="5"/>
  <c r="AP24" i="5"/>
  <c r="AO24" i="5"/>
  <c r="AM24" i="5"/>
  <c r="AL24" i="5"/>
  <c r="AK24" i="5"/>
  <c r="AJ24" i="5"/>
  <c r="AI24" i="5"/>
  <c r="AH24" i="5"/>
  <c r="AG24" i="5"/>
  <c r="AR23" i="5"/>
  <c r="AQ23" i="5"/>
  <c r="AP23" i="5"/>
  <c r="AM23" i="5"/>
  <c r="AL23" i="5"/>
  <c r="AK23" i="5"/>
  <c r="AJ23" i="5"/>
  <c r="AI23" i="5"/>
  <c r="AH23" i="5"/>
  <c r="AG23" i="5"/>
  <c r="AR22" i="5"/>
  <c r="AQ22" i="5"/>
  <c r="AP22" i="5"/>
  <c r="AO22" i="5"/>
  <c r="AM22" i="5"/>
  <c r="AL22" i="5"/>
  <c r="AK22" i="5"/>
  <c r="AJ22" i="5"/>
  <c r="AI22" i="5"/>
  <c r="AH22" i="5"/>
  <c r="AG22" i="5"/>
  <c r="AR21" i="5"/>
  <c r="AQ21" i="5"/>
  <c r="AP21" i="5"/>
  <c r="AO21" i="5"/>
  <c r="AM21" i="5"/>
  <c r="AL21" i="5"/>
  <c r="AK21" i="5"/>
  <c r="AJ21" i="5"/>
  <c r="AI21" i="5"/>
  <c r="AH21" i="5"/>
  <c r="AG21" i="5"/>
  <c r="AR20" i="5"/>
  <c r="AQ20" i="5"/>
  <c r="AP20" i="5"/>
  <c r="AM20" i="5"/>
  <c r="AL20" i="5"/>
  <c r="AK20" i="5"/>
  <c r="AJ20" i="5"/>
  <c r="AI20" i="5"/>
  <c r="AH20" i="5"/>
  <c r="AG20" i="5"/>
  <c r="AR19" i="5"/>
  <c r="AQ19" i="5"/>
  <c r="AP19" i="5"/>
  <c r="AO19" i="5"/>
  <c r="AM19" i="5"/>
  <c r="AL19" i="5"/>
  <c r="AK19" i="5"/>
  <c r="AJ19" i="5"/>
  <c r="AI19" i="5"/>
  <c r="AH19" i="5"/>
  <c r="AG19" i="5"/>
  <c r="AR18" i="5"/>
  <c r="AQ18" i="5"/>
  <c r="AP18" i="5"/>
  <c r="AO18" i="5"/>
  <c r="AM18" i="5"/>
  <c r="AL18" i="5"/>
  <c r="AK18" i="5"/>
  <c r="AJ18" i="5"/>
  <c r="AI18" i="5"/>
  <c r="AH18" i="5"/>
  <c r="AG18" i="5"/>
  <c r="AR17" i="5"/>
  <c r="AQ17" i="5"/>
  <c r="AP17" i="5"/>
  <c r="AM17" i="5"/>
  <c r="AL17" i="5"/>
  <c r="AK17" i="5"/>
  <c r="AJ17" i="5"/>
  <c r="AI17" i="5"/>
  <c r="AH17" i="5"/>
  <c r="AG17" i="5"/>
  <c r="AR16" i="5"/>
  <c r="AQ16" i="5"/>
  <c r="AP16" i="5"/>
  <c r="AM16" i="5"/>
  <c r="AL16" i="5"/>
  <c r="AK16" i="5"/>
  <c r="AJ16" i="5"/>
  <c r="AI16" i="5"/>
  <c r="AH16" i="5"/>
  <c r="AG16" i="5"/>
  <c r="AR15" i="5"/>
  <c r="AQ15" i="5"/>
  <c r="AP15" i="5"/>
  <c r="AM15" i="5"/>
  <c r="AL15" i="5"/>
  <c r="AK15" i="5"/>
  <c r="AJ15" i="5"/>
  <c r="AI15" i="5"/>
  <c r="AH15" i="5"/>
  <c r="AG15" i="5"/>
  <c r="AR14" i="5"/>
  <c r="AQ14" i="5"/>
  <c r="AP14" i="5"/>
  <c r="AO14" i="5"/>
  <c r="AM14" i="5"/>
  <c r="AL14" i="5"/>
  <c r="AK14" i="5"/>
  <c r="AJ14" i="5"/>
  <c r="AI14" i="5"/>
  <c r="AH14" i="5"/>
  <c r="AR13" i="5"/>
  <c r="AQ13" i="5"/>
  <c r="AP13" i="5"/>
  <c r="AG13" i="5"/>
  <c r="AR12" i="5"/>
  <c r="AQ12" i="5"/>
  <c r="AP12" i="5"/>
  <c r="AO12" i="5"/>
  <c r="AR11" i="5"/>
  <c r="AQ11" i="5"/>
  <c r="AP11" i="5"/>
  <c r="AO11" i="5"/>
  <c r="AM11" i="5"/>
  <c r="AL11" i="5"/>
  <c r="AK11" i="5"/>
  <c r="AJ11" i="5"/>
  <c r="AI11" i="5"/>
  <c r="AH11" i="5"/>
  <c r="AG11" i="5"/>
  <c r="AR10" i="5"/>
  <c r="AQ10" i="5"/>
  <c r="AP10" i="5"/>
  <c r="AM10" i="5"/>
  <c r="AL10" i="5"/>
  <c r="AK10" i="5"/>
  <c r="AJ10" i="5"/>
  <c r="AI10" i="5"/>
  <c r="AH10" i="5"/>
  <c r="AG10" i="5"/>
  <c r="AR9" i="5"/>
  <c r="AQ9" i="5"/>
  <c r="AP9" i="5"/>
  <c r="AM9" i="5"/>
  <c r="AL9" i="5"/>
  <c r="AK9" i="5"/>
  <c r="AJ9" i="5"/>
  <c r="AI9" i="5"/>
  <c r="AH9" i="5"/>
  <c r="AG9" i="5"/>
  <c r="AR8" i="5"/>
  <c r="AQ8" i="5"/>
  <c r="AP8" i="5"/>
  <c r="AM8" i="5"/>
  <c r="AL8" i="5"/>
  <c r="AK8" i="5"/>
  <c r="AJ8" i="5"/>
  <c r="AI8" i="5"/>
  <c r="AH8" i="5"/>
  <c r="AG8" i="5"/>
  <c r="AR7" i="5"/>
  <c r="AQ7" i="5"/>
  <c r="AP7" i="5"/>
  <c r="AM7" i="5"/>
  <c r="AL7" i="5"/>
  <c r="AK7" i="5"/>
  <c r="AJ7" i="5"/>
  <c r="AI7" i="5"/>
  <c r="AH7" i="5"/>
  <c r="AG7" i="5"/>
  <c r="AR6" i="5"/>
  <c r="AQ6" i="5"/>
  <c r="AP6" i="5"/>
  <c r="AO6" i="5"/>
  <c r="AM6" i="5"/>
  <c r="AL6" i="5"/>
  <c r="AK6" i="5"/>
  <c r="AJ6" i="5"/>
  <c r="AI6" i="5"/>
  <c r="AH6" i="5"/>
  <c r="AG6" i="5"/>
  <c r="AM5" i="5"/>
  <c r="AL5" i="5"/>
  <c r="AK5" i="5"/>
  <c r="AJ5" i="5"/>
  <c r="AI5" i="5"/>
  <c r="AH5" i="5"/>
  <c r="AG5" i="5"/>
  <c r="AR4" i="5"/>
  <c r="AM4" i="5"/>
  <c r="AL4" i="5"/>
  <c r="AK4" i="5"/>
  <c r="AJ4" i="5"/>
  <c r="AI4" i="5"/>
  <c r="AH4" i="5"/>
  <c r="AG4" i="5"/>
  <c r="AR3" i="5"/>
  <c r="AM3" i="5"/>
  <c r="AL3" i="5"/>
  <c r="AK3" i="5"/>
  <c r="AJ3" i="5"/>
  <c r="AI3" i="5"/>
  <c r="AH3" i="5"/>
  <c r="AO2" i="5"/>
  <c r="AG2" i="5"/>
  <c r="AN41" i="2"/>
  <c r="AM41" i="2"/>
  <c r="AL41" i="2"/>
  <c r="AK41" i="2"/>
  <c r="AJ41" i="2"/>
  <c r="AI41" i="2"/>
  <c r="AN40" i="2"/>
  <c r="AM40" i="2"/>
  <c r="AL40" i="2"/>
  <c r="AK40" i="2"/>
  <c r="AJ40" i="2"/>
  <c r="AI40" i="2"/>
  <c r="T40" i="2"/>
  <c r="S40" i="2"/>
  <c r="R40" i="2"/>
  <c r="Q40" i="2"/>
  <c r="P40" i="2"/>
  <c r="AN39" i="2"/>
  <c r="AM39" i="2"/>
  <c r="AL39" i="2"/>
  <c r="AK39" i="2"/>
  <c r="AJ39" i="2"/>
  <c r="AI39" i="2"/>
  <c r="T39" i="2"/>
  <c r="S39" i="2"/>
  <c r="R39" i="2"/>
  <c r="Q39" i="2"/>
  <c r="P39" i="2"/>
  <c r="AN38" i="2"/>
  <c r="AM38" i="2"/>
  <c r="AL38" i="2"/>
  <c r="AK38" i="2"/>
  <c r="AJ38" i="2"/>
  <c r="AI38" i="2"/>
  <c r="T38" i="2"/>
  <c r="S38" i="2"/>
  <c r="R38" i="2"/>
  <c r="Q38" i="2"/>
  <c r="P38" i="2"/>
  <c r="AN37" i="2"/>
  <c r="AM37" i="2"/>
  <c r="AL37" i="2"/>
  <c r="AK37" i="2"/>
  <c r="AJ37" i="2"/>
  <c r="AI37" i="2"/>
  <c r="T37" i="2"/>
  <c r="S37" i="2"/>
  <c r="R37" i="2"/>
  <c r="Q37" i="2"/>
  <c r="P37" i="2"/>
  <c r="AI36" i="2"/>
  <c r="T36" i="2"/>
  <c r="S36" i="2"/>
  <c r="R36" i="2"/>
  <c r="Q36" i="2"/>
  <c r="P36" i="2"/>
  <c r="T35" i="2"/>
  <c r="S35" i="2"/>
  <c r="R35" i="2"/>
  <c r="Q35" i="2"/>
  <c r="P35" i="2"/>
  <c r="AN34" i="2"/>
  <c r="AM34" i="2"/>
  <c r="AL34" i="2"/>
  <c r="AK34" i="2"/>
  <c r="AJ34" i="2"/>
  <c r="AI34" i="2"/>
  <c r="AH34" i="2"/>
  <c r="T34" i="2"/>
  <c r="S34" i="2"/>
  <c r="R34" i="2"/>
  <c r="Q34" i="2"/>
  <c r="P34" i="2"/>
  <c r="AN33" i="2"/>
  <c r="AM33" i="2"/>
  <c r="AL33" i="2"/>
  <c r="AK33" i="2"/>
  <c r="AJ33" i="2"/>
  <c r="AI33" i="2"/>
  <c r="AH33" i="2"/>
  <c r="T33" i="2"/>
  <c r="S33" i="2"/>
  <c r="R33" i="2"/>
  <c r="Q33" i="2"/>
  <c r="P33" i="2"/>
  <c r="AN32" i="2"/>
  <c r="AM32" i="2"/>
  <c r="AL32" i="2"/>
  <c r="AK32" i="2"/>
  <c r="AJ32" i="2"/>
  <c r="AI32" i="2"/>
  <c r="AH32" i="2"/>
  <c r="T32" i="2"/>
  <c r="S32" i="2"/>
  <c r="R32" i="2"/>
  <c r="Q32" i="2"/>
  <c r="P32" i="2"/>
  <c r="AN31" i="2"/>
  <c r="AM31" i="2"/>
  <c r="AL31" i="2"/>
  <c r="AK31" i="2"/>
  <c r="AJ31" i="2"/>
  <c r="AI31" i="2"/>
  <c r="AH31" i="2"/>
  <c r="T31" i="2"/>
  <c r="S31" i="2"/>
  <c r="R31" i="2"/>
  <c r="Q31" i="2"/>
  <c r="P31" i="2"/>
  <c r="AN30" i="2"/>
  <c r="AM30" i="2"/>
  <c r="AL30" i="2"/>
  <c r="AK30" i="2"/>
  <c r="AJ30" i="2"/>
  <c r="AI30" i="2"/>
  <c r="AH30" i="2"/>
  <c r="T30" i="2"/>
  <c r="S30" i="2"/>
  <c r="R30" i="2"/>
  <c r="Q30" i="2"/>
  <c r="P30" i="2"/>
  <c r="AN29" i="2"/>
  <c r="AM29" i="2"/>
  <c r="AL29" i="2"/>
  <c r="AK29" i="2"/>
  <c r="AJ29" i="2"/>
  <c r="AI29" i="2"/>
  <c r="AH29" i="2"/>
  <c r="T29" i="2"/>
  <c r="S29" i="2"/>
  <c r="R29" i="2"/>
  <c r="Q29" i="2"/>
  <c r="P29" i="2"/>
  <c r="AN28" i="2"/>
  <c r="AM28" i="2"/>
  <c r="AL28" i="2"/>
  <c r="AK28" i="2"/>
  <c r="AJ28" i="2"/>
  <c r="AI28" i="2"/>
  <c r="AH28" i="2"/>
  <c r="T28" i="2"/>
  <c r="S28" i="2"/>
  <c r="R28" i="2"/>
  <c r="Q28" i="2"/>
  <c r="P28" i="2"/>
  <c r="AN27" i="2"/>
  <c r="AM27" i="2"/>
  <c r="AL27" i="2"/>
  <c r="AK27" i="2"/>
  <c r="AJ27" i="2"/>
  <c r="AI27" i="2"/>
  <c r="AH27" i="2"/>
  <c r="T27" i="2"/>
  <c r="S27" i="2"/>
  <c r="R27" i="2"/>
  <c r="Q27" i="2"/>
  <c r="P27" i="2"/>
  <c r="AN26" i="2"/>
  <c r="AM26" i="2"/>
  <c r="AL26" i="2"/>
  <c r="AK26" i="2"/>
  <c r="AJ26" i="2"/>
  <c r="AI26" i="2"/>
  <c r="AH26" i="2"/>
  <c r="T26" i="2"/>
  <c r="S26" i="2"/>
  <c r="R26" i="2"/>
  <c r="Q26" i="2"/>
  <c r="P26" i="2"/>
  <c r="AS25" i="2"/>
  <c r="AR25" i="2"/>
  <c r="AQ25" i="2"/>
  <c r="AN25" i="2"/>
  <c r="AM25" i="2"/>
  <c r="AL25" i="2"/>
  <c r="AK25" i="2"/>
  <c r="AJ25" i="2"/>
  <c r="AI25" i="2"/>
  <c r="AH25" i="2"/>
  <c r="AS24" i="2"/>
  <c r="AR24" i="2"/>
  <c r="AQ24" i="2"/>
  <c r="AP24" i="2"/>
  <c r="AN24" i="2"/>
  <c r="AM24" i="2"/>
  <c r="AL24" i="2"/>
  <c r="AK24" i="2"/>
  <c r="AJ24" i="2"/>
  <c r="AI24" i="2"/>
  <c r="AH24" i="2"/>
  <c r="AS23" i="2"/>
  <c r="AR23" i="2"/>
  <c r="AQ23" i="2"/>
  <c r="AN23" i="2"/>
  <c r="AM23" i="2"/>
  <c r="AL23" i="2"/>
  <c r="AK23" i="2"/>
  <c r="AJ23" i="2"/>
  <c r="AI23" i="2"/>
  <c r="AH23" i="2"/>
  <c r="AS22" i="2"/>
  <c r="AR22" i="2"/>
  <c r="AQ22" i="2"/>
  <c r="AP22" i="2"/>
  <c r="AN22" i="2"/>
  <c r="AM22" i="2"/>
  <c r="AL22" i="2"/>
  <c r="AK22" i="2"/>
  <c r="AJ22" i="2"/>
  <c r="AI22" i="2"/>
  <c r="AH22" i="2"/>
  <c r="AS21" i="2"/>
  <c r="AR21" i="2"/>
  <c r="AQ21" i="2"/>
  <c r="AP21" i="2"/>
  <c r="AN21" i="2"/>
  <c r="AM21" i="2"/>
  <c r="AL21" i="2"/>
  <c r="AK21" i="2"/>
  <c r="AJ21" i="2"/>
  <c r="AI21" i="2"/>
  <c r="AH21" i="2"/>
  <c r="AS20" i="2"/>
  <c r="AR20" i="2"/>
  <c r="AQ20" i="2"/>
  <c r="AN20" i="2"/>
  <c r="AM20" i="2"/>
  <c r="AL20" i="2"/>
  <c r="AK20" i="2"/>
  <c r="AJ20" i="2"/>
  <c r="AI20" i="2"/>
  <c r="AH20" i="2"/>
  <c r="AS19" i="2"/>
  <c r="AR19" i="2"/>
  <c r="AQ19" i="2"/>
  <c r="AP19" i="2"/>
  <c r="AN19" i="2"/>
  <c r="AM19" i="2"/>
  <c r="AL19" i="2"/>
  <c r="AK19" i="2"/>
  <c r="AJ19" i="2"/>
  <c r="AI19" i="2"/>
  <c r="AH19" i="2"/>
  <c r="AS18" i="2"/>
  <c r="AR18" i="2"/>
  <c r="AQ18" i="2"/>
  <c r="AP18" i="2"/>
  <c r="AN18" i="2"/>
  <c r="AM18" i="2"/>
  <c r="AL18" i="2"/>
  <c r="AK18" i="2"/>
  <c r="AJ18" i="2"/>
  <c r="AI18" i="2"/>
  <c r="AH18" i="2"/>
  <c r="AS17" i="2"/>
  <c r="AR17" i="2"/>
  <c r="AQ17" i="2"/>
  <c r="AN17" i="2"/>
  <c r="AM17" i="2"/>
  <c r="AL17" i="2"/>
  <c r="AK17" i="2"/>
  <c r="AJ17" i="2"/>
  <c r="AI17" i="2"/>
  <c r="AH17" i="2"/>
  <c r="AS16" i="2"/>
  <c r="AR16" i="2"/>
  <c r="AQ16" i="2"/>
  <c r="AN16" i="2"/>
  <c r="AM16" i="2"/>
  <c r="AL16" i="2"/>
  <c r="AK16" i="2"/>
  <c r="AJ16" i="2"/>
  <c r="AI16" i="2"/>
  <c r="AH16" i="2"/>
  <c r="AS15" i="2"/>
  <c r="AR15" i="2"/>
  <c r="AQ15" i="2"/>
  <c r="AN15" i="2"/>
  <c r="AM15" i="2"/>
  <c r="AL15" i="2"/>
  <c r="AK15" i="2"/>
  <c r="AJ15" i="2"/>
  <c r="AI15" i="2"/>
  <c r="AH15" i="2"/>
  <c r="AS14" i="2"/>
  <c r="AR14" i="2"/>
  <c r="AQ14" i="2"/>
  <c r="AP14" i="2"/>
  <c r="AN14" i="2"/>
  <c r="AM14" i="2"/>
  <c r="AL14" i="2"/>
  <c r="AK14" i="2"/>
  <c r="AJ14" i="2"/>
  <c r="AI14" i="2"/>
  <c r="AS13" i="2"/>
  <c r="AR13" i="2"/>
  <c r="AQ13" i="2"/>
  <c r="AH13" i="2"/>
  <c r="AS12" i="2"/>
  <c r="AR12" i="2"/>
  <c r="AQ12" i="2"/>
  <c r="AP12" i="2"/>
  <c r="AS11" i="2"/>
  <c r="AR11" i="2"/>
  <c r="AQ11" i="2"/>
  <c r="AP11" i="2"/>
  <c r="AN11" i="2"/>
  <c r="AM11" i="2"/>
  <c r="AL11" i="2"/>
  <c r="AK11" i="2"/>
  <c r="AJ11" i="2"/>
  <c r="AI11" i="2"/>
  <c r="AH11" i="2"/>
  <c r="AS10" i="2"/>
  <c r="AR10" i="2"/>
  <c r="AQ10" i="2"/>
  <c r="AN10" i="2"/>
  <c r="AM10" i="2"/>
  <c r="AL10" i="2"/>
  <c r="AK10" i="2"/>
  <c r="AJ10" i="2"/>
  <c r="AI10" i="2"/>
  <c r="AH10" i="2"/>
  <c r="AS9" i="2"/>
  <c r="AR9" i="2"/>
  <c r="AQ9" i="2"/>
  <c r="AN9" i="2"/>
  <c r="AM9" i="2"/>
  <c r="AL9" i="2"/>
  <c r="AK9" i="2"/>
  <c r="AJ9" i="2"/>
  <c r="AI9" i="2"/>
  <c r="AH9" i="2"/>
  <c r="AS8" i="2"/>
  <c r="AR8" i="2"/>
  <c r="AQ8" i="2"/>
  <c r="AN8" i="2"/>
  <c r="AM8" i="2"/>
  <c r="AL8" i="2"/>
  <c r="AK8" i="2"/>
  <c r="AJ8" i="2"/>
  <c r="AI8" i="2"/>
  <c r="AH8" i="2"/>
  <c r="AS7" i="2"/>
  <c r="AR7" i="2"/>
  <c r="AQ7" i="2"/>
  <c r="AN7" i="2"/>
  <c r="AM7" i="2"/>
  <c r="AL7" i="2"/>
  <c r="AK7" i="2"/>
  <c r="AJ7" i="2"/>
  <c r="AI7" i="2"/>
  <c r="AH7" i="2"/>
  <c r="AS6" i="2"/>
  <c r="AR6" i="2"/>
  <c r="AQ6" i="2"/>
  <c r="AP6" i="2"/>
  <c r="AN6" i="2"/>
  <c r="AM6" i="2"/>
  <c r="AL6" i="2"/>
  <c r="AK6" i="2"/>
  <c r="AJ6" i="2"/>
  <c r="AI6" i="2"/>
  <c r="AH6" i="2"/>
  <c r="AN5" i="2"/>
  <c r="AM5" i="2"/>
  <c r="AL5" i="2"/>
  <c r="AK5" i="2"/>
  <c r="AJ5" i="2"/>
  <c r="AI5" i="2"/>
  <c r="AH5" i="2"/>
  <c r="AS4" i="2"/>
  <c r="AN4" i="2"/>
  <c r="AM4" i="2"/>
  <c r="AL4" i="2"/>
  <c r="AK4" i="2"/>
  <c r="AJ4" i="2"/>
  <c r="AI4" i="2"/>
  <c r="AH4" i="2"/>
  <c r="AS3" i="2"/>
  <c r="AN3" i="2"/>
  <c r="AM3" i="2"/>
  <c r="AL3" i="2"/>
  <c r="AK3" i="2"/>
  <c r="AJ3" i="2"/>
  <c r="AI3" i="2"/>
  <c r="AP2" i="2"/>
  <c r="AH2" i="2"/>
  <c r="Z30" i="3"/>
  <c r="Z29" i="3"/>
  <c r="Z28" i="3"/>
  <c r="Z27" i="3"/>
  <c r="Z26" i="3"/>
  <c r="Z25" i="3"/>
  <c r="AL23" i="3"/>
  <c r="AK23" i="3"/>
  <c r="AJ23" i="3"/>
  <c r="AI23" i="3"/>
  <c r="AH23" i="3"/>
  <c r="AG23" i="3"/>
  <c r="AF23" i="3"/>
  <c r="AD23" i="3"/>
  <c r="AC23" i="3"/>
  <c r="AB23" i="3"/>
  <c r="AA23" i="3"/>
  <c r="Z23" i="3"/>
  <c r="AL22" i="3"/>
  <c r="AK22" i="3"/>
  <c r="AJ22" i="3"/>
  <c r="AI22" i="3"/>
  <c r="AH22" i="3"/>
  <c r="AG22" i="3"/>
  <c r="AF22" i="3"/>
  <c r="AD22" i="3"/>
  <c r="AC22" i="3"/>
  <c r="AB22" i="3"/>
  <c r="AA22" i="3"/>
  <c r="Z22" i="3"/>
  <c r="AL21" i="3"/>
  <c r="AK21" i="3"/>
  <c r="AJ21" i="3"/>
  <c r="AI21" i="3"/>
  <c r="AH21" i="3"/>
  <c r="AG21" i="3"/>
  <c r="AF21" i="3"/>
  <c r="AD21" i="3"/>
  <c r="AC21" i="3"/>
  <c r="AB21" i="3"/>
  <c r="AA21" i="3"/>
  <c r="Z21" i="3"/>
  <c r="AL20" i="3"/>
  <c r="AK20" i="3"/>
  <c r="AJ20" i="3"/>
  <c r="AI20" i="3"/>
  <c r="AH20" i="3"/>
  <c r="AG20" i="3"/>
  <c r="AF20" i="3"/>
  <c r="AD20" i="3"/>
  <c r="AC20" i="3"/>
  <c r="AB20" i="3"/>
  <c r="AA20" i="3"/>
  <c r="Z20" i="3"/>
  <c r="AL19" i="3"/>
  <c r="AK19" i="3"/>
  <c r="AJ19" i="3"/>
  <c r="AI19" i="3"/>
  <c r="AH19" i="3"/>
  <c r="AG19" i="3"/>
  <c r="AF19" i="3"/>
  <c r="AD19" i="3"/>
  <c r="AC19" i="3"/>
  <c r="AB19" i="3"/>
  <c r="AA19" i="3"/>
  <c r="Z19" i="3"/>
  <c r="AL18" i="3"/>
  <c r="AK18" i="3"/>
  <c r="AJ18" i="3"/>
  <c r="AI18" i="3"/>
  <c r="AH18" i="3"/>
  <c r="AG18" i="3"/>
  <c r="AF18" i="3"/>
  <c r="AD18" i="3"/>
  <c r="AC18" i="3"/>
  <c r="AB18" i="3"/>
  <c r="AA18" i="3"/>
  <c r="Z18" i="3"/>
  <c r="AL17" i="3"/>
  <c r="AK17" i="3"/>
  <c r="AJ17" i="3"/>
  <c r="AI17" i="3"/>
  <c r="AH17" i="3"/>
  <c r="AG17" i="3"/>
  <c r="AF17" i="3"/>
  <c r="AD17" i="3"/>
  <c r="AC17" i="3"/>
  <c r="AB17" i="3"/>
  <c r="AA17" i="3"/>
  <c r="Z17" i="3"/>
  <c r="AL16" i="3"/>
  <c r="AK16" i="3"/>
  <c r="AJ16" i="3"/>
  <c r="AI16" i="3"/>
  <c r="AH16" i="3"/>
  <c r="AG16" i="3"/>
  <c r="AF16" i="3"/>
  <c r="AD16" i="3"/>
  <c r="AC16" i="3"/>
  <c r="AB16" i="3"/>
  <c r="AA16" i="3"/>
  <c r="Z16" i="3"/>
  <c r="AL15" i="3"/>
  <c r="AK15" i="3"/>
  <c r="AJ15" i="3"/>
  <c r="AI15" i="3"/>
  <c r="AH15" i="3"/>
  <c r="AG15" i="3"/>
  <c r="AF15" i="3"/>
  <c r="AD15" i="3"/>
  <c r="AC15" i="3"/>
  <c r="AB15" i="3"/>
  <c r="AA15" i="3"/>
  <c r="Z15" i="3"/>
  <c r="AL14" i="3"/>
  <c r="AK14" i="3"/>
  <c r="AJ14" i="3"/>
  <c r="AI14" i="3"/>
  <c r="AH14" i="3"/>
  <c r="AG14" i="3"/>
  <c r="AF14" i="3"/>
  <c r="AD14" i="3"/>
  <c r="AC14" i="3"/>
  <c r="AB14" i="3"/>
  <c r="AA14" i="3"/>
  <c r="Z14" i="3"/>
  <c r="AL13" i="3"/>
  <c r="AK13" i="3"/>
  <c r="AJ13" i="3"/>
  <c r="AI13" i="3"/>
  <c r="AH13" i="3"/>
  <c r="AG13" i="3"/>
  <c r="AF13" i="3"/>
  <c r="AD13" i="3"/>
  <c r="AC13" i="3"/>
  <c r="AB13" i="3"/>
  <c r="AA13" i="3"/>
  <c r="Z13" i="3"/>
  <c r="AL12" i="3"/>
  <c r="AK12" i="3"/>
  <c r="AJ12" i="3"/>
  <c r="AI12" i="3"/>
  <c r="AH12" i="3"/>
  <c r="AG12" i="3"/>
  <c r="AF12" i="3"/>
  <c r="AD12" i="3"/>
  <c r="AC12" i="3"/>
  <c r="AB12" i="3"/>
  <c r="AA12" i="3"/>
  <c r="Z12" i="3"/>
  <c r="AL11" i="3"/>
  <c r="AK11" i="3"/>
  <c r="AJ11" i="3"/>
  <c r="AI11" i="3"/>
  <c r="AH11" i="3"/>
  <c r="AG11" i="3"/>
  <c r="AF11" i="3"/>
  <c r="AD11" i="3"/>
  <c r="AC11" i="3"/>
  <c r="AB11" i="3"/>
  <c r="AA11" i="3"/>
  <c r="Z11" i="3"/>
  <c r="AL10" i="3"/>
  <c r="AK10" i="3"/>
  <c r="AJ10" i="3"/>
  <c r="AI10" i="3"/>
  <c r="AH10" i="3"/>
  <c r="AG10" i="3"/>
  <c r="AF10" i="3"/>
  <c r="AD10" i="3"/>
  <c r="AC10" i="3"/>
  <c r="AB10" i="3"/>
  <c r="AA10" i="3"/>
  <c r="Z10" i="3"/>
  <c r="AL9" i="3"/>
  <c r="AK9" i="3"/>
  <c r="AJ9" i="3"/>
  <c r="AI9" i="3"/>
  <c r="AH9" i="3"/>
  <c r="AG9" i="3"/>
  <c r="AF9" i="3"/>
  <c r="AD9" i="3"/>
  <c r="AC9" i="3"/>
  <c r="AB9" i="3"/>
  <c r="AA9" i="3"/>
  <c r="Z9" i="3"/>
  <c r="AL8" i="3"/>
  <c r="AK8" i="3"/>
  <c r="AJ8" i="3"/>
  <c r="AI8" i="3"/>
  <c r="AH8" i="3"/>
  <c r="AG8" i="3"/>
  <c r="AF8" i="3"/>
  <c r="AD8" i="3"/>
  <c r="AC8" i="3"/>
  <c r="AB8" i="3"/>
  <c r="AA8" i="3"/>
  <c r="Z8" i="3"/>
  <c r="AL7" i="3"/>
  <c r="AK7" i="3"/>
  <c r="AJ7" i="3"/>
  <c r="AI7" i="3"/>
  <c r="AH7" i="3"/>
  <c r="AG7" i="3"/>
  <c r="AF7" i="3"/>
  <c r="AD7" i="3"/>
  <c r="AC7" i="3"/>
  <c r="AB7" i="3"/>
  <c r="AA7" i="3"/>
  <c r="Z7" i="3"/>
  <c r="AL6" i="3"/>
  <c r="AK6" i="3"/>
  <c r="AJ6" i="3"/>
  <c r="AI6" i="3"/>
  <c r="AH6" i="3"/>
  <c r="AG6" i="3"/>
  <c r="AF6" i="3"/>
  <c r="AD6" i="3"/>
  <c r="AC6" i="3"/>
  <c r="AB6" i="3"/>
  <c r="AA6" i="3"/>
  <c r="Z6" i="3"/>
  <c r="AL5" i="3"/>
  <c r="AK5" i="3"/>
  <c r="AJ5" i="3"/>
  <c r="AI5" i="3"/>
  <c r="AH5" i="3"/>
  <c r="AG5" i="3"/>
  <c r="AF5" i="3"/>
  <c r="AD5" i="3"/>
  <c r="AC5" i="3"/>
  <c r="AB5" i="3"/>
  <c r="AA5" i="3"/>
  <c r="Z5" i="3"/>
  <c r="AL4" i="3"/>
  <c r="AK4" i="3"/>
  <c r="AJ4" i="3"/>
  <c r="AI4" i="3"/>
  <c r="AH4" i="3"/>
  <c r="AG4" i="3"/>
  <c r="AF4" i="3"/>
  <c r="AD4" i="3"/>
  <c r="AC4" i="3"/>
  <c r="AB4" i="3"/>
  <c r="AA4" i="3"/>
  <c r="Z4" i="3"/>
  <c r="AL3" i="3"/>
  <c r="AK3" i="3"/>
  <c r="AJ3" i="3"/>
  <c r="AI3" i="3"/>
  <c r="AH3" i="3"/>
  <c r="AG3" i="3"/>
  <c r="Z2" i="3"/>
  <c r="U55" i="7"/>
  <c r="U54" i="7"/>
  <c r="U53" i="7"/>
  <c r="M53" i="7"/>
  <c r="U52" i="7"/>
  <c r="M52" i="7"/>
  <c r="U51" i="7"/>
  <c r="U50" i="7"/>
  <c r="U49" i="7"/>
  <c r="U48" i="7"/>
  <c r="U46" i="7"/>
  <c r="U45" i="7"/>
  <c r="U44" i="7"/>
  <c r="G44" i="7"/>
  <c r="U43" i="7"/>
  <c r="G43" i="7"/>
  <c r="G42" i="7"/>
  <c r="D42" i="7"/>
  <c r="U41" i="7"/>
  <c r="G41" i="7"/>
  <c r="U40" i="7"/>
  <c r="G40" i="7"/>
  <c r="D40" i="7"/>
  <c r="BH38" i="7"/>
  <c r="BG38" i="7"/>
  <c r="BF38" i="7"/>
  <c r="BE38" i="7"/>
  <c r="BC38" i="7"/>
  <c r="BA38" i="7"/>
  <c r="AY38" i="7"/>
  <c r="AX38" i="7"/>
  <c r="AW38" i="7"/>
  <c r="AV38" i="7"/>
  <c r="AT38" i="7"/>
  <c r="AR38" i="7"/>
  <c r="AN38" i="7"/>
  <c r="AL38" i="7"/>
  <c r="AJ38" i="7"/>
  <c r="AG38" i="7"/>
  <c r="AE38" i="7"/>
  <c r="AC38" i="7"/>
  <c r="AA38" i="7"/>
  <c r="Y38" i="7"/>
  <c r="X38" i="7"/>
  <c r="W38" i="7"/>
  <c r="V38" i="7"/>
  <c r="U38" i="7"/>
  <c r="T38" i="7"/>
  <c r="S38" i="7"/>
  <c r="R38" i="7"/>
  <c r="Q38" i="7"/>
  <c r="P38" i="7"/>
  <c r="O38" i="7"/>
  <c r="N38" i="7"/>
  <c r="M38" i="7"/>
  <c r="K38" i="7"/>
  <c r="BH37" i="7"/>
  <c r="BG37" i="7"/>
  <c r="BF37" i="7"/>
  <c r="BE37" i="7"/>
  <c r="BC37" i="7"/>
  <c r="BA37" i="7"/>
  <c r="AY37" i="7"/>
  <c r="AX37" i="7"/>
  <c r="AW37" i="7"/>
  <c r="AV37" i="7"/>
  <c r="AT37" i="7"/>
  <c r="AR37" i="7"/>
  <c r="AN37" i="7"/>
  <c r="AL37" i="7"/>
  <c r="AJ37" i="7"/>
  <c r="AG37" i="7"/>
  <c r="AE37" i="7"/>
  <c r="AC37" i="7"/>
  <c r="AA37" i="7"/>
  <c r="Y37" i="7"/>
  <c r="X37" i="7"/>
  <c r="W37" i="7"/>
  <c r="V37" i="7"/>
  <c r="U37" i="7"/>
  <c r="T37" i="7"/>
  <c r="S37" i="7"/>
  <c r="R37" i="7"/>
  <c r="Q37" i="7"/>
  <c r="P37" i="7"/>
  <c r="O37" i="7"/>
  <c r="N37" i="7"/>
  <c r="M37" i="7"/>
  <c r="K37" i="7"/>
  <c r="BH36" i="7"/>
  <c r="BG36" i="7"/>
  <c r="BF36" i="7"/>
  <c r="BE36" i="7"/>
  <c r="BC36" i="7"/>
  <c r="BA36" i="7"/>
  <c r="AY36" i="7"/>
  <c r="AX36" i="7"/>
  <c r="AW36" i="7"/>
  <c r="AV36" i="7"/>
  <c r="AT36" i="7"/>
  <c r="AR36" i="7"/>
  <c r="AN36" i="7"/>
  <c r="AL36" i="7"/>
  <c r="AJ36" i="7"/>
  <c r="AG36" i="7"/>
  <c r="AE36" i="7"/>
  <c r="AC36" i="7"/>
  <c r="AA36" i="7"/>
  <c r="Y36" i="7"/>
  <c r="X36" i="7"/>
  <c r="W36" i="7"/>
  <c r="V36" i="7"/>
  <c r="U36" i="7"/>
  <c r="T36" i="7"/>
  <c r="S36" i="7"/>
  <c r="R36" i="7"/>
  <c r="Q36" i="7"/>
  <c r="P36" i="7"/>
  <c r="O36" i="7"/>
  <c r="N36" i="7"/>
  <c r="M36" i="7"/>
  <c r="K36" i="7"/>
  <c r="BH35" i="7"/>
  <c r="BG35" i="7"/>
  <c r="BF35" i="7"/>
  <c r="BE35" i="7"/>
  <c r="BC35" i="7"/>
  <c r="BA35" i="7"/>
  <c r="AY35" i="7"/>
  <c r="AX35" i="7"/>
  <c r="AW35" i="7"/>
  <c r="AV35" i="7"/>
  <c r="AT35" i="7"/>
  <c r="AR35" i="7"/>
  <c r="AN35" i="7"/>
  <c r="AL35" i="7"/>
  <c r="AJ35" i="7"/>
  <c r="AG35" i="7"/>
  <c r="AE35" i="7"/>
  <c r="AC35" i="7"/>
  <c r="AA35" i="7"/>
  <c r="Y35" i="7"/>
  <c r="X35" i="7"/>
  <c r="W35" i="7"/>
  <c r="V35" i="7"/>
  <c r="U35" i="7"/>
  <c r="T35" i="7"/>
  <c r="S35" i="7"/>
  <c r="R35" i="7"/>
  <c r="Q35" i="7"/>
  <c r="P35" i="7"/>
  <c r="O35" i="7"/>
  <c r="N35" i="7"/>
  <c r="M35" i="7"/>
  <c r="K35" i="7"/>
  <c r="BN34" i="7"/>
  <c r="BH34" i="7"/>
  <c r="BG34" i="7"/>
  <c r="BF34" i="7"/>
  <c r="BE34" i="7"/>
  <c r="BC34" i="7"/>
  <c r="BA34" i="7"/>
  <c r="AY34" i="7"/>
  <c r="AX34" i="7"/>
  <c r="AW34" i="7"/>
  <c r="AV34" i="7"/>
  <c r="AT34" i="7"/>
  <c r="AR34" i="7"/>
  <c r="AN34" i="7"/>
  <c r="AL34" i="7"/>
  <c r="AJ34" i="7"/>
  <c r="AG34" i="7"/>
  <c r="AE34" i="7"/>
  <c r="AC34" i="7"/>
  <c r="AA34" i="7"/>
  <c r="Y34" i="7"/>
  <c r="X34" i="7"/>
  <c r="W34" i="7"/>
  <c r="V34" i="7"/>
  <c r="U34" i="7"/>
  <c r="T34" i="7"/>
  <c r="S34" i="7"/>
  <c r="R34" i="7"/>
  <c r="Q34" i="7"/>
  <c r="P34" i="7"/>
  <c r="O34" i="7"/>
  <c r="N34" i="7"/>
  <c r="M34" i="7"/>
  <c r="K34" i="7"/>
  <c r="BP33" i="7"/>
  <c r="BN33" i="7"/>
  <c r="BH33" i="7"/>
  <c r="BG33" i="7"/>
  <c r="BF33" i="7"/>
  <c r="BE33" i="7"/>
  <c r="BC33" i="7"/>
  <c r="BA33" i="7"/>
  <c r="AY33" i="7"/>
  <c r="AX33" i="7"/>
  <c r="AW33" i="7"/>
  <c r="AV33" i="7"/>
  <c r="AT33" i="7"/>
  <c r="AR33" i="7"/>
  <c r="AN33" i="7"/>
  <c r="AL33" i="7"/>
  <c r="AJ33" i="7"/>
  <c r="AG33" i="7"/>
  <c r="AE33" i="7"/>
  <c r="AC33" i="7"/>
  <c r="AA33" i="7"/>
  <c r="Y33" i="7"/>
  <c r="X33" i="7"/>
  <c r="W33" i="7"/>
  <c r="V33" i="7"/>
  <c r="U33" i="7"/>
  <c r="T33" i="7"/>
  <c r="S33" i="7"/>
  <c r="R33" i="7"/>
  <c r="Q33" i="7"/>
  <c r="P33" i="7"/>
  <c r="O33" i="7"/>
  <c r="N33" i="7"/>
  <c r="M33" i="7"/>
  <c r="K33" i="7"/>
  <c r="BP32" i="7"/>
  <c r="BN32" i="7"/>
  <c r="BH32" i="7"/>
  <c r="BG32" i="7"/>
  <c r="BF32" i="7"/>
  <c r="BE32" i="7"/>
  <c r="BC32" i="7"/>
  <c r="BA32" i="7"/>
  <c r="AY32" i="7"/>
  <c r="AX32" i="7"/>
  <c r="AW32" i="7"/>
  <c r="AV32" i="7"/>
  <c r="AT32" i="7"/>
  <c r="AR32" i="7"/>
  <c r="AN32" i="7"/>
  <c r="AL32" i="7"/>
  <c r="AJ32" i="7"/>
  <c r="AG32" i="7"/>
  <c r="AE32" i="7"/>
  <c r="AC32" i="7"/>
  <c r="AA32" i="7"/>
  <c r="Y32" i="7"/>
  <c r="X32" i="7"/>
  <c r="W32" i="7"/>
  <c r="V32" i="7"/>
  <c r="U32" i="7"/>
  <c r="T32" i="7"/>
  <c r="S32" i="7"/>
  <c r="R32" i="7"/>
  <c r="Q32" i="7"/>
  <c r="P32" i="7"/>
  <c r="O32" i="7"/>
  <c r="N32" i="7"/>
  <c r="M32" i="7"/>
  <c r="K32" i="7"/>
  <c r="BP31" i="7"/>
  <c r="BN31" i="7"/>
  <c r="BH31" i="7"/>
  <c r="BG31" i="7"/>
  <c r="BF31" i="7"/>
  <c r="BE31" i="7"/>
  <c r="BC31" i="7"/>
  <c r="BA31" i="7"/>
  <c r="AY31" i="7"/>
  <c r="AX31" i="7"/>
  <c r="AW31" i="7"/>
  <c r="AV31" i="7"/>
  <c r="AT31" i="7"/>
  <c r="AR31" i="7"/>
  <c r="AN31" i="7"/>
  <c r="AL31" i="7"/>
  <c r="AJ31" i="7"/>
  <c r="AG31" i="7"/>
  <c r="AE31" i="7"/>
  <c r="AC31" i="7"/>
  <c r="AA31" i="7"/>
  <c r="Y31" i="7"/>
  <c r="X31" i="7"/>
  <c r="W31" i="7"/>
  <c r="V31" i="7"/>
  <c r="U31" i="7"/>
  <c r="T31" i="7"/>
  <c r="S31" i="7"/>
  <c r="R31" i="7"/>
  <c r="Q31" i="7"/>
  <c r="P31" i="7"/>
  <c r="O31" i="7"/>
  <c r="N31" i="7"/>
  <c r="M31" i="7"/>
  <c r="K31" i="7"/>
  <c r="J31" i="7"/>
  <c r="BP30" i="7"/>
  <c r="BN30" i="7"/>
  <c r="BH30" i="7"/>
  <c r="BG30" i="7"/>
  <c r="BF30" i="7"/>
  <c r="BE30" i="7"/>
  <c r="BC30" i="7"/>
  <c r="BA30" i="7"/>
  <c r="AY30" i="7"/>
  <c r="AX30" i="7"/>
  <c r="AW30" i="7"/>
  <c r="AV30" i="7"/>
  <c r="AT30" i="7"/>
  <c r="AR30" i="7"/>
  <c r="AN30" i="7"/>
  <c r="AL30" i="7"/>
  <c r="AJ30" i="7"/>
  <c r="AG30" i="7"/>
  <c r="AE30" i="7"/>
  <c r="AC30" i="7"/>
  <c r="AA30" i="7"/>
  <c r="Y30" i="7"/>
  <c r="X30" i="7"/>
  <c r="W30" i="7"/>
  <c r="V30" i="7"/>
  <c r="U30" i="7"/>
  <c r="T30" i="7"/>
  <c r="S30" i="7"/>
  <c r="R30" i="7"/>
  <c r="Q30" i="7"/>
  <c r="P30" i="7"/>
  <c r="O30" i="7"/>
  <c r="N30" i="7"/>
  <c r="M30" i="7"/>
  <c r="K30" i="7"/>
  <c r="BP29" i="7"/>
  <c r="BN29" i="7"/>
  <c r="BK29" i="7"/>
  <c r="BH29" i="7"/>
  <c r="BG29" i="7"/>
  <c r="BF29" i="7"/>
  <c r="BE29" i="7"/>
  <c r="BC29" i="7"/>
  <c r="BA29" i="7"/>
  <c r="AY29" i="7"/>
  <c r="AX29" i="7"/>
  <c r="AW29" i="7"/>
  <c r="AV29" i="7"/>
  <c r="AT29" i="7"/>
  <c r="AR29" i="7"/>
  <c r="AN29" i="7"/>
  <c r="AL29" i="7"/>
  <c r="AJ29" i="7"/>
  <c r="AG29" i="7"/>
  <c r="AE29" i="7"/>
  <c r="AC29" i="7"/>
  <c r="AA29" i="7"/>
  <c r="Y29" i="7"/>
  <c r="X29" i="7"/>
  <c r="W29" i="7"/>
  <c r="V29" i="7"/>
  <c r="U29" i="7"/>
  <c r="T29" i="7"/>
  <c r="S29" i="7"/>
  <c r="R29" i="7"/>
  <c r="Q29" i="7"/>
  <c r="P29" i="7"/>
  <c r="O29" i="7"/>
  <c r="N29" i="7"/>
  <c r="M29" i="7"/>
  <c r="K29" i="7"/>
  <c r="BP28" i="7"/>
  <c r="BN28" i="7"/>
  <c r="BK28" i="7"/>
  <c r="BN27" i="7"/>
  <c r="BK27" i="7"/>
  <c r="BH27" i="7"/>
  <c r="BG27" i="7"/>
  <c r="AY27" i="7"/>
  <c r="AX27" i="7"/>
  <c r="L27" i="7"/>
  <c r="AR25" i="7"/>
  <c r="N23" i="7"/>
  <c r="I23" i="7"/>
  <c r="N22" i="7"/>
  <c r="I22" i="7"/>
  <c r="N21" i="7"/>
  <c r="N20" i="7"/>
  <c r="N19" i="7"/>
  <c r="N17" i="7"/>
  <c r="K17" i="7"/>
  <c r="N16" i="7"/>
  <c r="N15" i="7"/>
  <c r="N14" i="7"/>
  <c r="N13" i="7"/>
  <c r="G13" i="7"/>
  <c r="N12" i="7"/>
  <c r="G12" i="7"/>
  <c r="G11" i="7"/>
  <c r="L10" i="7"/>
  <c r="G10" i="7"/>
</calcChain>
</file>

<file path=xl/sharedStrings.xml><?xml version="1.0" encoding="utf-8"?>
<sst xmlns="http://schemas.openxmlformats.org/spreadsheetml/2006/main" count="529" uniqueCount="261">
  <si>
    <t>Vérifications des fondations profondes selon la norme NF P94-262 - Procédure dite du "modèle de terrain"</t>
  </si>
  <si>
    <t xml:space="preserve">  Cellules à renseigner</t>
  </si>
  <si>
    <t>Le principe de la procédure "modèle de terain" est de déterminer les valeurs caractéristiques de portance à partir des valeurs caractéristiques de la résistance de pointe et du frottement axial unitaire dans les différentes couches d'un modèle géotechnique du site, éventuellement découpé en zones géotechniquement homogènes.</t>
  </si>
  <si>
    <t>Méthode pressiométrique</t>
  </si>
  <si>
    <t>Méthode pénétrométrique</t>
  </si>
  <si>
    <t>Type</t>
  </si>
  <si>
    <t>Foré boue (pieux et barrettes)</t>
  </si>
  <si>
    <t xml:space="preserve">Méthode </t>
  </si>
  <si>
    <t>Méthode pressiométrique (annexe F)</t>
  </si>
  <si>
    <t>Abréviation</t>
  </si>
  <si>
    <t>Type de sol d'ancrage</t>
  </si>
  <si>
    <t>Norme de référence</t>
  </si>
  <si>
    <t>Classe de pieu</t>
  </si>
  <si>
    <t xml:space="preserve">a = max { B/2 ; 0.50 } </t>
  </si>
  <si>
    <t>Catégorie de pieu</t>
  </si>
  <si>
    <t xml:space="preserve">b = min { a ; h } </t>
  </si>
  <si>
    <t>Profondeur sup. de calcul : D - b</t>
  </si>
  <si>
    <t>Mode de fonctionnement</t>
  </si>
  <si>
    <t>Compression</t>
  </si>
  <si>
    <t>Profondeur inf. de calcul : D + 3a</t>
  </si>
  <si>
    <t>Prise en compte de la résistance de pointe</t>
  </si>
  <si>
    <t>OUI</t>
  </si>
  <si>
    <t xml:space="preserve"> = NON en principe si micropieu</t>
  </si>
  <si>
    <t>Epaisseur de calcul : b + 3a</t>
  </si>
  <si>
    <t>Pieu mis en œuvre avec refoulement de sol</t>
  </si>
  <si>
    <t>NON</t>
  </si>
  <si>
    <t>Largeur du pieu : B</t>
  </si>
  <si>
    <t xml:space="preserve"> = Ø si pieu circulaire</t>
  </si>
  <si>
    <r>
      <rPr>
        <sz val="9"/>
        <color theme="1"/>
        <rFont val="Calibri"/>
        <charset val="134"/>
        <scheme val="minor"/>
      </rPr>
      <t>h</t>
    </r>
    <r>
      <rPr>
        <vertAlign val="subscript"/>
        <sz val="9"/>
        <color theme="1"/>
        <rFont val="Calibri"/>
        <charset val="134"/>
        <scheme val="minor"/>
      </rPr>
      <t>D</t>
    </r>
    <r>
      <rPr>
        <sz val="9"/>
        <color theme="1"/>
        <rFont val="Calibri"/>
        <charset val="134"/>
        <scheme val="minor"/>
      </rPr>
      <t xml:space="preserve"> = min { 10B ; D } </t>
    </r>
  </si>
  <si>
    <t>Hauteur totale du pieu : D</t>
  </si>
  <si>
    <r>
      <rPr>
        <sz val="9"/>
        <color theme="1"/>
        <rFont val="Calibri"/>
        <charset val="134"/>
        <scheme val="minor"/>
      </rPr>
      <t>Profondeur sup. de calcul : D - h</t>
    </r>
    <r>
      <rPr>
        <vertAlign val="subscript"/>
        <sz val="9"/>
        <color theme="1"/>
        <rFont val="Calibri"/>
        <charset val="134"/>
        <scheme val="minor"/>
      </rPr>
      <t>D</t>
    </r>
  </si>
  <si>
    <t>Hauteur dans la couche porteuse : h</t>
  </si>
  <si>
    <t>Profondeur inf. de calcul : D</t>
  </si>
  <si>
    <r>
      <rPr>
        <sz val="9"/>
        <color theme="1"/>
        <rFont val="Calibri"/>
        <charset val="134"/>
        <scheme val="minor"/>
      </rPr>
      <t>Aire de la base du pieu : A</t>
    </r>
    <r>
      <rPr>
        <vertAlign val="subscript"/>
        <sz val="9"/>
        <color theme="1"/>
        <rFont val="Calibri"/>
        <charset val="134"/>
        <scheme val="minor"/>
      </rPr>
      <t>b</t>
    </r>
  </si>
  <si>
    <r>
      <rPr>
        <sz val="9"/>
        <color theme="1"/>
        <rFont val="Calibri"/>
        <charset val="134"/>
        <scheme val="minor"/>
      </rPr>
      <t>Epaisseur de calcul = h</t>
    </r>
    <r>
      <rPr>
        <vertAlign val="subscript"/>
        <sz val="9"/>
        <color theme="1"/>
        <rFont val="Calibri"/>
        <charset val="134"/>
        <scheme val="minor"/>
      </rPr>
      <t>D</t>
    </r>
  </si>
  <si>
    <r>
      <rPr>
        <sz val="9"/>
        <color theme="1"/>
        <rFont val="Calibri"/>
        <charset val="134"/>
        <scheme val="minor"/>
      </rPr>
      <t>Périmètre du pieu : P</t>
    </r>
    <r>
      <rPr>
        <vertAlign val="subscript"/>
        <sz val="9"/>
        <color theme="1"/>
        <rFont val="Calibri"/>
        <charset val="134"/>
        <scheme val="minor"/>
      </rPr>
      <t>s</t>
    </r>
  </si>
  <si>
    <r>
      <rPr>
        <sz val="9"/>
        <color theme="1"/>
        <rFont val="Calibri"/>
        <charset val="134"/>
        <scheme val="minor"/>
      </rPr>
      <t>Encastrement effectif : D</t>
    </r>
    <r>
      <rPr>
        <vertAlign val="subscript"/>
        <sz val="9"/>
        <color theme="1"/>
        <rFont val="Calibri"/>
        <charset val="134"/>
        <scheme val="minor"/>
      </rPr>
      <t>ef</t>
    </r>
  </si>
  <si>
    <t>Caractéristiques des couches porteuses</t>
  </si>
  <si>
    <r>
      <rPr>
        <i/>
        <sz val="9"/>
        <color theme="1"/>
        <rFont val="Calibri"/>
        <charset val="134"/>
        <scheme val="minor"/>
      </rPr>
      <t>paramètres pour calcul de f</t>
    </r>
    <r>
      <rPr>
        <i/>
        <vertAlign val="subscript"/>
        <sz val="9"/>
        <color theme="1"/>
        <rFont val="Calibri"/>
        <charset val="134"/>
        <scheme val="minor"/>
      </rPr>
      <t>sol</t>
    </r>
  </si>
  <si>
    <t>Validation des données</t>
  </si>
  <si>
    <t>Détermination du sol d'ancrage</t>
  </si>
  <si>
    <t>Détermination de la hauteur d'ancrage équivalente</t>
  </si>
  <si>
    <r>
      <rPr>
        <sz val="10"/>
        <color theme="1"/>
        <rFont val="Calibri"/>
        <charset val="134"/>
        <scheme val="minor"/>
      </rPr>
      <t>Détermination de k</t>
    </r>
    <r>
      <rPr>
        <vertAlign val="subscript"/>
        <sz val="10"/>
        <color theme="1"/>
        <rFont val="Calibri"/>
        <charset val="134"/>
        <scheme val="minor"/>
      </rPr>
      <t>p</t>
    </r>
  </si>
  <si>
    <r>
      <rPr>
        <sz val="10"/>
        <color theme="1"/>
        <rFont val="Calibri"/>
        <charset val="134"/>
        <scheme val="minor"/>
      </rPr>
      <t>Détermination de k</t>
    </r>
    <r>
      <rPr>
        <vertAlign val="subscript"/>
        <sz val="10"/>
        <color theme="1"/>
        <rFont val="Calibri"/>
        <charset val="134"/>
        <scheme val="minor"/>
      </rPr>
      <t>c</t>
    </r>
  </si>
  <si>
    <t>Pieu</t>
  </si>
  <si>
    <t>n° de la couche</t>
  </si>
  <si>
    <t>Nom de la couche</t>
  </si>
  <si>
    <t>Type de sol</t>
  </si>
  <si>
    <t>Epaisseur de la couche</t>
  </si>
  <si>
    <t>Profondeur</t>
  </si>
  <si>
    <r>
      <rPr>
        <sz val="10"/>
        <color theme="1"/>
        <rFont val="Calibri"/>
        <charset val="134"/>
        <scheme val="minor"/>
      </rPr>
      <t>Courbe f</t>
    </r>
    <r>
      <rPr>
        <vertAlign val="subscript"/>
        <sz val="10"/>
        <color theme="1"/>
        <rFont val="Calibri"/>
        <charset val="134"/>
        <scheme val="minor"/>
      </rPr>
      <t>sol</t>
    </r>
  </si>
  <si>
    <t>a</t>
  </si>
  <si>
    <t>b</t>
  </si>
  <si>
    <t>c</t>
  </si>
  <si>
    <r>
      <rPr>
        <sz val="10"/>
        <color theme="1"/>
        <rFont val="Calibri"/>
        <charset val="134"/>
        <scheme val="minor"/>
      </rPr>
      <t>f</t>
    </r>
    <r>
      <rPr>
        <vertAlign val="subscript"/>
        <sz val="10"/>
        <color theme="1"/>
        <rFont val="Calibri"/>
        <charset val="134"/>
        <scheme val="minor"/>
      </rPr>
      <t>sol</t>
    </r>
  </si>
  <si>
    <r>
      <rPr>
        <sz val="10"/>
        <color theme="1"/>
        <rFont val="Calibri"/>
        <charset val="134"/>
        <scheme val="minor"/>
      </rPr>
      <t>α</t>
    </r>
    <r>
      <rPr>
        <vertAlign val="subscript"/>
        <sz val="10"/>
        <color theme="1"/>
        <rFont val="Calibri"/>
        <charset val="134"/>
        <scheme val="minor"/>
      </rPr>
      <t>pieu-sol</t>
    </r>
  </si>
  <si>
    <r>
      <rPr>
        <sz val="10"/>
        <color theme="1"/>
        <rFont val="Calibri"/>
        <charset val="134"/>
        <scheme val="minor"/>
      </rPr>
      <t>q</t>
    </r>
    <r>
      <rPr>
        <vertAlign val="subscript"/>
        <sz val="10"/>
        <color theme="1"/>
        <rFont val="Calibri"/>
        <charset val="134"/>
        <scheme val="minor"/>
      </rPr>
      <t>s</t>
    </r>
  </si>
  <si>
    <r>
      <rPr>
        <sz val="10"/>
        <color theme="1"/>
        <rFont val="Calibri"/>
        <charset val="134"/>
        <scheme val="minor"/>
      </rPr>
      <t>q</t>
    </r>
    <r>
      <rPr>
        <vertAlign val="subscript"/>
        <sz val="10"/>
        <color theme="1"/>
        <rFont val="Calibri"/>
        <charset val="134"/>
        <scheme val="minor"/>
      </rPr>
      <t>smax</t>
    </r>
  </si>
  <si>
    <r>
      <rPr>
        <sz val="10"/>
        <color theme="1"/>
        <rFont val="Calibri"/>
        <charset val="134"/>
        <scheme val="minor"/>
      </rPr>
      <t>q</t>
    </r>
    <r>
      <rPr>
        <vertAlign val="subscript"/>
        <sz val="10"/>
        <color theme="1"/>
        <rFont val="Calibri"/>
        <charset val="134"/>
        <scheme val="minor"/>
      </rPr>
      <t>s ;i</t>
    </r>
  </si>
  <si>
    <r>
      <rPr>
        <sz val="10"/>
        <color theme="1"/>
        <rFont val="Calibri"/>
        <charset val="134"/>
        <scheme val="minor"/>
      </rPr>
      <t>q</t>
    </r>
    <r>
      <rPr>
        <vertAlign val="subscript"/>
        <sz val="10"/>
        <color theme="1"/>
        <rFont val="Calibri"/>
        <charset val="134"/>
        <scheme val="minor"/>
      </rPr>
      <t>s ;i ;k</t>
    </r>
  </si>
  <si>
    <t>Epaisseur de calcul</t>
  </si>
  <si>
    <r>
      <rPr>
        <sz val="10"/>
        <color theme="1"/>
        <rFont val="Calibri"/>
        <charset val="134"/>
        <scheme val="minor"/>
      </rPr>
      <t>Surface
A</t>
    </r>
    <r>
      <rPr>
        <vertAlign val="subscript"/>
        <sz val="10"/>
        <color theme="1"/>
        <rFont val="Calibri"/>
        <charset val="134"/>
        <scheme val="minor"/>
      </rPr>
      <t>s,i</t>
    </r>
  </si>
  <si>
    <r>
      <rPr>
        <sz val="10"/>
        <color theme="1"/>
        <rFont val="Calibri"/>
        <charset val="134"/>
        <scheme val="minor"/>
      </rPr>
      <t>Résistance
R</t>
    </r>
    <r>
      <rPr>
        <vertAlign val="subscript"/>
        <sz val="10"/>
        <color theme="1"/>
        <rFont val="Calibri"/>
        <charset val="134"/>
        <scheme val="minor"/>
      </rPr>
      <t>s,i</t>
    </r>
  </si>
  <si>
    <t>Donnée  Nom ?</t>
  </si>
  <si>
    <t>Donnée Type  ?</t>
  </si>
  <si>
    <t>Donnée  Nom &amp; Type ?</t>
  </si>
  <si>
    <t>Validation données couches</t>
  </si>
  <si>
    <t>Couches &lt; D</t>
  </si>
  <si>
    <t>Couches &lt; (D + 3a)</t>
  </si>
  <si>
    <t>Couches &gt; (D - b)</t>
  </si>
  <si>
    <t>Couches retenues</t>
  </si>
  <si>
    <t>Epaisseurs retenues</t>
  </si>
  <si>
    <r>
      <rPr>
        <sz val="10"/>
        <color theme="1"/>
        <rFont val="Calibri"/>
        <charset val="134"/>
        <scheme val="minor"/>
      </rPr>
      <t>Couches &gt; (D-h</t>
    </r>
    <r>
      <rPr>
        <vertAlign val="subscript"/>
        <sz val="10"/>
        <color theme="1"/>
        <rFont val="Calibri"/>
        <charset val="134"/>
        <scheme val="minor"/>
      </rPr>
      <t>D</t>
    </r>
    <r>
      <rPr>
        <sz val="10"/>
        <color theme="1"/>
        <rFont val="Calibri"/>
        <charset val="134"/>
        <scheme val="minor"/>
      </rPr>
      <t>)</t>
    </r>
  </si>
  <si>
    <r>
      <rPr>
        <sz val="10"/>
        <color theme="1"/>
        <rFont val="Calibri"/>
        <charset val="134"/>
        <scheme val="minor"/>
      </rPr>
      <t>si D</t>
    </r>
    <r>
      <rPr>
        <vertAlign val="subscript"/>
        <sz val="10"/>
        <color theme="1"/>
        <rFont val="Calibri"/>
        <charset val="134"/>
        <scheme val="minor"/>
      </rPr>
      <t>ef</t>
    </r>
    <r>
      <rPr>
        <sz val="10"/>
        <color theme="1"/>
        <rFont val="Calibri"/>
        <charset val="134"/>
        <scheme val="minor"/>
      </rPr>
      <t>/B &gt; 5</t>
    </r>
  </si>
  <si>
    <r>
      <rPr>
        <sz val="10"/>
        <color theme="1"/>
        <rFont val="Calibri"/>
        <charset val="134"/>
        <scheme val="minor"/>
      </rPr>
      <t>si D</t>
    </r>
    <r>
      <rPr>
        <vertAlign val="subscript"/>
        <sz val="10"/>
        <color theme="1"/>
        <rFont val="Calibri"/>
        <charset val="134"/>
        <scheme val="minor"/>
      </rPr>
      <t>ef</t>
    </r>
    <r>
      <rPr>
        <sz val="10"/>
        <color theme="1"/>
        <rFont val="Calibri"/>
        <charset val="134"/>
        <scheme val="minor"/>
      </rPr>
      <t>/B &lt; 5</t>
    </r>
  </si>
  <si>
    <t>Argile</t>
  </si>
  <si>
    <t xml:space="preserve">Argile % CaCO3 &lt; 30 % Limon </t>
  </si>
  <si>
    <r>
      <rPr>
        <sz val="10"/>
        <color theme="1"/>
        <rFont val="Calibri"/>
        <charset val="134"/>
        <scheme val="minor"/>
      </rPr>
      <t>k</t>
    </r>
    <r>
      <rPr>
        <vertAlign val="subscript"/>
        <sz val="10"/>
        <color theme="1"/>
        <rFont val="Calibri"/>
        <charset val="134"/>
        <scheme val="minor"/>
      </rPr>
      <t>p</t>
    </r>
    <r>
      <rPr>
        <sz val="10"/>
        <color theme="1"/>
        <rFont val="Calibri"/>
        <charset val="134"/>
        <scheme val="minor"/>
      </rPr>
      <t xml:space="preserve"> retenu</t>
    </r>
  </si>
  <si>
    <t>Argile Compact</t>
  </si>
  <si>
    <t xml:space="preserve">Marne </t>
  </si>
  <si>
    <t>Marne et Calcaire-Marneux</t>
  </si>
  <si>
    <t>Coefficients de sécurité à l'ELU</t>
  </si>
  <si>
    <t>Valeur carcatéristique de la résistance de pointe</t>
  </si>
  <si>
    <r>
      <rPr>
        <sz val="10"/>
        <color theme="1"/>
        <rFont val="Calibri"/>
        <charset val="134"/>
      </rPr>
      <t>R</t>
    </r>
    <r>
      <rPr>
        <vertAlign val="subscript"/>
        <sz val="10"/>
        <color theme="1"/>
        <rFont val="Calibri"/>
        <charset val="134"/>
      </rPr>
      <t>b ;k</t>
    </r>
  </si>
  <si>
    <r>
      <rPr>
        <sz val="9"/>
        <color theme="1"/>
        <rFont val="Calibri"/>
        <charset val="134"/>
        <scheme val="minor"/>
      </rPr>
      <t>D</t>
    </r>
    <r>
      <rPr>
        <vertAlign val="subscript"/>
        <sz val="9"/>
        <color theme="1"/>
        <rFont val="Calibri"/>
        <charset val="134"/>
        <scheme val="minor"/>
      </rPr>
      <t>ef</t>
    </r>
    <r>
      <rPr>
        <sz val="9"/>
        <color theme="1"/>
        <rFont val="Calibri"/>
        <charset val="134"/>
        <scheme val="minor"/>
      </rPr>
      <t xml:space="preserve"> / B</t>
    </r>
  </si>
  <si>
    <t>Sit. durables et transitoires</t>
  </si>
  <si>
    <t>Sit. accidentelles</t>
  </si>
  <si>
    <t>Valeur carcatéristique de la résistance de frottement</t>
  </si>
  <si>
    <r>
      <rPr>
        <sz val="10"/>
        <color theme="1"/>
        <rFont val="Calibri"/>
        <charset val="134"/>
      </rPr>
      <t>R</t>
    </r>
    <r>
      <rPr>
        <vertAlign val="subscript"/>
        <sz val="10"/>
        <color theme="1"/>
        <rFont val="Calibri"/>
        <charset val="134"/>
      </rPr>
      <t>s ;k</t>
    </r>
  </si>
  <si>
    <r>
      <rPr>
        <sz val="10"/>
        <color theme="1"/>
        <rFont val="Calibri"/>
        <charset val="134"/>
      </rPr>
      <t>ϒ</t>
    </r>
    <r>
      <rPr>
        <vertAlign val="subscript"/>
        <sz val="10"/>
        <color theme="1"/>
        <rFont val="Calibri"/>
        <charset val="134"/>
      </rPr>
      <t>b</t>
    </r>
  </si>
  <si>
    <r>
      <rPr>
        <sz val="9"/>
        <color theme="1"/>
        <rFont val="Calibri"/>
        <charset val="134"/>
        <scheme val="minor"/>
      </rPr>
      <t>Contrainte limite de pointe : q</t>
    </r>
    <r>
      <rPr>
        <vertAlign val="subscript"/>
        <sz val="9"/>
        <color theme="1"/>
        <rFont val="Calibri"/>
        <charset val="134"/>
        <scheme val="minor"/>
      </rPr>
      <t>b</t>
    </r>
  </si>
  <si>
    <r>
      <rPr>
        <sz val="10"/>
        <color theme="1"/>
        <rFont val="Calibri"/>
        <charset val="134"/>
      </rPr>
      <t>ϒ</t>
    </r>
    <r>
      <rPr>
        <vertAlign val="subscript"/>
        <sz val="10"/>
        <color theme="1"/>
        <rFont val="Calibri"/>
        <charset val="134"/>
      </rPr>
      <t>s</t>
    </r>
  </si>
  <si>
    <t>Valeur carcatéristique de portance</t>
  </si>
  <si>
    <r>
      <rPr>
        <sz val="10"/>
        <color theme="1"/>
        <rFont val="Calibri"/>
        <charset val="134"/>
      </rPr>
      <t>R</t>
    </r>
    <r>
      <rPr>
        <vertAlign val="subscript"/>
        <sz val="10"/>
        <color theme="1"/>
        <rFont val="Calibri"/>
        <charset val="134"/>
      </rPr>
      <t xml:space="preserve">c ;k </t>
    </r>
  </si>
  <si>
    <r>
      <rPr>
        <sz val="9"/>
        <color theme="1"/>
        <rFont val="Calibri"/>
        <charset val="134"/>
        <scheme val="minor"/>
      </rPr>
      <t>Contrainte limite de pointe : q</t>
    </r>
    <r>
      <rPr>
        <vertAlign val="subscript"/>
        <sz val="9"/>
        <color theme="1"/>
        <rFont val="Calibri"/>
        <charset val="134"/>
        <scheme val="minor"/>
      </rPr>
      <t>b,k</t>
    </r>
  </si>
  <si>
    <r>
      <rPr>
        <sz val="10"/>
        <color theme="1"/>
        <rFont val="Calibri"/>
        <charset val="134"/>
      </rPr>
      <t>ϒ</t>
    </r>
    <r>
      <rPr>
        <vertAlign val="subscript"/>
        <sz val="10"/>
        <color theme="1"/>
        <rFont val="Calibri"/>
        <charset val="134"/>
      </rPr>
      <t>t</t>
    </r>
  </si>
  <si>
    <t>Valeur carcatéristique de résistance à la traction</t>
  </si>
  <si>
    <r>
      <rPr>
        <sz val="10"/>
        <color theme="1"/>
        <rFont val="Calibri"/>
        <charset val="134"/>
        <scheme val="minor"/>
      </rPr>
      <t>R</t>
    </r>
    <r>
      <rPr>
        <vertAlign val="subscript"/>
        <sz val="10"/>
        <color theme="1"/>
        <rFont val="Calibri"/>
        <charset val="134"/>
        <scheme val="minor"/>
      </rPr>
      <t>t ;k</t>
    </r>
  </si>
  <si>
    <r>
      <rPr>
        <sz val="10"/>
        <color theme="1"/>
        <rFont val="Calibri"/>
        <charset val="134"/>
      </rPr>
      <t>ϒ</t>
    </r>
    <r>
      <rPr>
        <vertAlign val="subscript"/>
        <sz val="10"/>
        <color theme="1"/>
        <rFont val="Calibri"/>
        <charset val="134"/>
      </rPr>
      <t>s ;t</t>
    </r>
  </si>
  <si>
    <t>Valeur carcatéristique de charge de fluage en compression</t>
  </si>
  <si>
    <r>
      <t>R</t>
    </r>
    <r>
      <rPr>
        <vertAlign val="subscript"/>
        <sz val="10"/>
        <color theme="1"/>
        <rFont val="Calibri"/>
        <charset val="134"/>
      </rPr>
      <t xml:space="preserve">c,cr ;k </t>
    </r>
  </si>
  <si>
    <t>Valeur carcatéristique de charge de fluage en traction</t>
  </si>
  <si>
    <r>
      <rPr>
        <sz val="10"/>
        <color theme="1"/>
        <rFont val="Calibri"/>
        <charset val="134"/>
      </rPr>
      <t>R</t>
    </r>
    <r>
      <rPr>
        <vertAlign val="subscript"/>
        <sz val="10"/>
        <color theme="1"/>
        <rFont val="Calibri"/>
        <charset val="134"/>
      </rPr>
      <t xml:space="preserve">t,cr ;k </t>
    </r>
  </si>
  <si>
    <t>Coefficients de sécurité à l'ELS</t>
  </si>
  <si>
    <t>Combinaisons caractéristiques</t>
  </si>
  <si>
    <t>Combinaisons quasi-permanentes</t>
  </si>
  <si>
    <t>ELU Fondamental</t>
  </si>
  <si>
    <t>Valeur de calcul de portance</t>
  </si>
  <si>
    <r>
      <rPr>
        <sz val="10"/>
        <color theme="1"/>
        <rFont val="Calibri"/>
        <charset val="134"/>
      </rPr>
      <t>R</t>
    </r>
    <r>
      <rPr>
        <vertAlign val="subscript"/>
        <sz val="10"/>
        <color theme="1"/>
        <rFont val="Calibri"/>
        <charset val="134"/>
      </rPr>
      <t xml:space="preserve">c ;d </t>
    </r>
  </si>
  <si>
    <r>
      <rPr>
        <sz val="10"/>
        <color theme="1"/>
        <rFont val="Calibri"/>
        <charset val="134"/>
      </rPr>
      <t>ϒ</t>
    </r>
    <r>
      <rPr>
        <vertAlign val="subscript"/>
        <sz val="10"/>
        <color theme="1"/>
        <rFont val="Calibri"/>
        <charset val="134"/>
      </rPr>
      <t>cr</t>
    </r>
  </si>
  <si>
    <t>Valeur de calcul de résistance à la traction</t>
  </si>
  <si>
    <r>
      <rPr>
        <sz val="10"/>
        <color theme="1"/>
        <rFont val="Calibri"/>
        <charset val="134"/>
        <scheme val="minor"/>
      </rPr>
      <t>R</t>
    </r>
    <r>
      <rPr>
        <vertAlign val="subscript"/>
        <sz val="10"/>
        <color theme="1"/>
        <rFont val="Calibri"/>
        <charset val="134"/>
        <scheme val="minor"/>
      </rPr>
      <t>t ;d</t>
    </r>
  </si>
  <si>
    <t>-</t>
  </si>
  <si>
    <r>
      <rPr>
        <sz val="10"/>
        <color theme="1"/>
        <rFont val="Calibri"/>
        <charset val="134"/>
      </rPr>
      <t>ϒ</t>
    </r>
    <r>
      <rPr>
        <vertAlign val="subscript"/>
        <sz val="10"/>
        <color theme="1"/>
        <rFont val="Calibri"/>
        <charset val="134"/>
      </rPr>
      <t>s ;cr</t>
    </r>
  </si>
  <si>
    <t>ELU Accidentel</t>
  </si>
  <si>
    <t xml:space="preserve">Coefficient partiel de modèle </t>
  </si>
  <si>
    <r>
      <rPr>
        <sz val="10"/>
        <color theme="1"/>
        <rFont val="Calibri"/>
        <charset val="134"/>
      </rPr>
      <t>ϒ</t>
    </r>
    <r>
      <rPr>
        <vertAlign val="subscript"/>
        <sz val="6"/>
        <color theme="1"/>
        <rFont val="Calibri"/>
        <charset val="134"/>
        <scheme val="minor"/>
      </rPr>
      <t>R ;d1</t>
    </r>
  </si>
  <si>
    <t>ELS Caractéristique</t>
  </si>
  <si>
    <t>Valeur de calcul de charge de fluage en compression</t>
  </si>
  <si>
    <r>
      <rPr>
        <sz val="10"/>
        <color theme="1"/>
        <rFont val="Calibri"/>
        <charset val="134"/>
      </rPr>
      <t>R</t>
    </r>
    <r>
      <rPr>
        <vertAlign val="subscript"/>
        <sz val="10"/>
        <color theme="1"/>
        <rFont val="Calibri"/>
        <charset val="134"/>
      </rPr>
      <t xml:space="preserve">c,cr ;d </t>
    </r>
  </si>
  <si>
    <t xml:space="preserve">Coefficient partiel de méthode </t>
  </si>
  <si>
    <r>
      <rPr>
        <sz val="10"/>
        <color theme="1"/>
        <rFont val="Calibri"/>
        <charset val="134"/>
      </rPr>
      <t>ϒ</t>
    </r>
    <r>
      <rPr>
        <vertAlign val="subscript"/>
        <sz val="6"/>
        <color theme="1"/>
        <rFont val="Calibri"/>
        <charset val="134"/>
        <scheme val="minor"/>
      </rPr>
      <t>R ;d2</t>
    </r>
  </si>
  <si>
    <t>Valeur de calcul de charge de fluage en traction</t>
  </si>
  <si>
    <r>
      <rPr>
        <sz val="10"/>
        <color theme="1"/>
        <rFont val="Calibri"/>
        <charset val="134"/>
      </rPr>
      <t>R</t>
    </r>
    <r>
      <rPr>
        <vertAlign val="subscript"/>
        <sz val="10"/>
        <color theme="1"/>
        <rFont val="Calibri"/>
        <charset val="134"/>
      </rPr>
      <t xml:space="preserve">t,cr ;d </t>
    </r>
  </si>
  <si>
    <t>ELS Quasi-permanent</t>
  </si>
  <si>
    <t>Données de la NF P94-262 / Données communes des annexes F &amp; G de la NF P94-262</t>
  </si>
  <si>
    <r>
      <rPr>
        <sz val="6"/>
        <color theme="1"/>
        <rFont val="Calibri"/>
        <charset val="134"/>
        <scheme val="minor"/>
      </rPr>
      <t>Valeurs maximales de frottement axial unitaire limite q</t>
    </r>
    <r>
      <rPr>
        <vertAlign val="subscript"/>
        <sz val="6"/>
        <color theme="1"/>
        <rFont val="Calibri"/>
        <charset val="134"/>
        <scheme val="minor"/>
      </rPr>
      <t>s</t>
    </r>
  </si>
  <si>
    <t>Tableau A.1 - Classes et catégories de pieux</t>
  </si>
  <si>
    <r>
      <rPr>
        <b/>
        <sz val="11"/>
        <color theme="1"/>
        <rFont val="Calibri"/>
        <charset val="134"/>
        <scheme val="minor"/>
      </rPr>
      <t>Tableau F.5.2.3 / Tableau G.5.2.3  - Valeurs maximales de frottement axial unitaire limite q</t>
    </r>
    <r>
      <rPr>
        <b/>
        <vertAlign val="subscript"/>
        <sz val="11"/>
        <color theme="1"/>
        <rFont val="Calibri"/>
        <charset val="134"/>
        <scheme val="minor"/>
      </rPr>
      <t>s</t>
    </r>
  </si>
  <si>
    <t xml:space="preserve">Technique </t>
  </si>
  <si>
    <t>Norme réf.</t>
  </si>
  <si>
    <t>Classe</t>
  </si>
  <si>
    <t>Catégorie</t>
  </si>
  <si>
    <t>Technique de mise en œuvre</t>
  </si>
  <si>
    <t>N°</t>
  </si>
  <si>
    <t>Valeurs en kPa</t>
  </si>
  <si>
    <t>Foré simple (pieux et barrettes)</t>
  </si>
  <si>
    <t>FS</t>
  </si>
  <si>
    <t>NF EN 1536</t>
  </si>
  <si>
    <r>
      <rPr>
        <sz val="10"/>
        <color theme="1"/>
        <rFont val="Calibri"/>
        <charset val="134"/>
        <scheme val="minor"/>
      </rPr>
      <t>Argile % CaCO</t>
    </r>
    <r>
      <rPr>
        <vertAlign val="subscript"/>
        <sz val="10"/>
        <color theme="1"/>
        <rFont val="Calibri"/>
        <charset val="134"/>
        <scheme val="minor"/>
      </rPr>
      <t>3</t>
    </r>
    <r>
      <rPr>
        <sz val="10"/>
        <color theme="1"/>
        <rFont val="Calibri"/>
        <charset val="134"/>
        <scheme val="minor"/>
      </rPr>
      <t xml:space="preserve"> &lt; 30 % Limon </t>
    </r>
  </si>
  <si>
    <t>Sols intermédiaires</t>
  </si>
  <si>
    <t>Sable Grave</t>
  </si>
  <si>
    <t>Craie</t>
  </si>
  <si>
    <t>Roche altérée ou fragmentée</t>
  </si>
  <si>
    <t>FB</t>
  </si>
  <si>
    <t>Foré tubé (virole perdue)</t>
  </si>
  <si>
    <t>FTP</t>
  </si>
  <si>
    <t>FS ##</t>
  </si>
  <si>
    <t>Foré tubé (virole récupérée)</t>
  </si>
  <si>
    <t>FTR</t>
  </si>
  <si>
    <t>FB ##</t>
  </si>
  <si>
    <t>Foré simple ou boue avec rainurage ou puits</t>
  </si>
  <si>
    <t>FSR, FBR, PU</t>
  </si>
  <si>
    <t>Foré tarière creuse simple rotation, ou double rotation</t>
  </si>
  <si>
    <t>FTC, FTCD</t>
  </si>
  <si>
    <t>Vissé moulé</t>
  </si>
  <si>
    <t>VM</t>
  </si>
  <si>
    <t>NF EN 12699</t>
  </si>
  <si>
    <t>FSR, FBR, PU ##</t>
  </si>
  <si>
    <t>Vissé tubé</t>
  </si>
  <si>
    <t>VT</t>
  </si>
  <si>
    <t>Battu béton préfabriqué ou précontraint</t>
  </si>
  <si>
    <t>BPF, BPR</t>
  </si>
  <si>
    <t>Battu enrobé (béton - mortier - coulis)</t>
  </si>
  <si>
    <t>BE</t>
  </si>
  <si>
    <t>Battu moulé</t>
  </si>
  <si>
    <t>BM</t>
  </si>
  <si>
    <t>BPF**, BPR**</t>
  </si>
  <si>
    <t>Battu acier fermé</t>
  </si>
  <si>
    <t>BAF</t>
  </si>
  <si>
    <t>BE**</t>
  </si>
  <si>
    <t>Battu acier ouvert</t>
  </si>
  <si>
    <t>BAO</t>
  </si>
  <si>
    <t>BM**</t>
  </si>
  <si>
    <t>Profilé H battu</t>
  </si>
  <si>
    <t>HB</t>
  </si>
  <si>
    <t>BAF**</t>
  </si>
  <si>
    <t>Profilé H battu injecté</t>
  </si>
  <si>
    <t>Hbi</t>
  </si>
  <si>
    <t>BAO** #</t>
  </si>
  <si>
    <t>Palplanches battues</t>
  </si>
  <si>
    <t>PP</t>
  </si>
  <si>
    <t>HB** #</t>
  </si>
  <si>
    <t>1 bis</t>
  </si>
  <si>
    <t>Micropieu type I</t>
  </si>
  <si>
    <t>M1</t>
  </si>
  <si>
    <t>NF EN
1536/14199/12699</t>
  </si>
  <si>
    <t>HBi**</t>
  </si>
  <si>
    <t>Micropieu type II</t>
  </si>
  <si>
    <t>M2</t>
  </si>
  <si>
    <t>PP** #</t>
  </si>
  <si>
    <t>Pieu ou micropieux injecté mode IGU (type III)</t>
  </si>
  <si>
    <t>PIGU, MIGU</t>
  </si>
  <si>
    <t>Pieu ou micropieu injecté mode IRS (type IV)</t>
  </si>
  <si>
    <t>PIRS, MIRS</t>
  </si>
  <si>
    <r>
      <rPr>
        <b/>
        <sz val="11"/>
        <color theme="1"/>
        <rFont val="Calibri"/>
        <charset val="134"/>
        <scheme val="minor"/>
      </rPr>
      <t>Tableau C.2.3.1 - Facteurs partiels de résistance (</t>
    </r>
    <r>
      <rPr>
        <b/>
        <sz val="11"/>
        <color theme="1"/>
        <rFont val="Calibri"/>
        <charset val="134"/>
      </rPr>
      <t>ϒ</t>
    </r>
    <r>
      <rPr>
        <b/>
        <vertAlign val="subscript"/>
        <sz val="12.65"/>
        <color theme="1"/>
        <rFont val="Calibri"/>
        <charset val="134"/>
      </rPr>
      <t>R</t>
    </r>
    <r>
      <rPr>
        <b/>
        <sz val="11"/>
        <color theme="1"/>
        <rFont val="Calibri"/>
        <charset val="134"/>
      </rPr>
      <t>)</t>
    </r>
    <r>
      <rPr>
        <b/>
        <sz val="12.65"/>
        <color theme="1"/>
        <rFont val="Calibri"/>
        <charset val="134"/>
      </rPr>
      <t xml:space="preserve"> </t>
    </r>
    <r>
      <rPr>
        <b/>
        <sz val="11"/>
        <color theme="1"/>
        <rFont val="Calibri"/>
        <charset val="134"/>
      </rPr>
      <t>pour les pieux - ELU -Situations durables et transitoires</t>
    </r>
  </si>
  <si>
    <t>Résistance</t>
  </si>
  <si>
    <t>Symbole</t>
  </si>
  <si>
    <t>Pieux foncés</t>
  </si>
  <si>
    <t>Pieux forés</t>
  </si>
  <si>
    <t>Pieux tarière</t>
  </si>
  <si>
    <r>
      <rPr>
        <b/>
        <sz val="11"/>
        <color theme="1"/>
        <rFont val="Calibri"/>
        <charset val="134"/>
        <scheme val="minor"/>
      </rPr>
      <t>Tableau 14.2.1.1 - Facteurs partiels de résistance (ϒ</t>
    </r>
    <r>
      <rPr>
        <b/>
        <vertAlign val="subscript"/>
        <sz val="11"/>
        <color theme="1"/>
        <rFont val="Calibri"/>
        <charset val="134"/>
        <scheme val="minor"/>
      </rPr>
      <t>R</t>
    </r>
    <r>
      <rPr>
        <b/>
        <sz val="11"/>
        <color theme="1"/>
        <rFont val="Calibri"/>
        <charset val="134"/>
        <scheme val="minor"/>
      </rPr>
      <t>) pour les fondations profondes - ELS - Combinaisons caractéristiques</t>
    </r>
  </si>
  <si>
    <t>Pointe</t>
  </si>
  <si>
    <r>
      <rPr>
        <sz val="9"/>
        <color theme="1"/>
        <rFont val="Calibri"/>
        <charset val="134"/>
        <scheme val="minor"/>
      </rPr>
      <t>Fût (compression)</t>
    </r>
    <r>
      <rPr>
        <vertAlign val="superscript"/>
        <sz val="9"/>
        <color theme="1"/>
        <rFont val="Calibri"/>
        <charset val="134"/>
        <scheme val="minor"/>
      </rPr>
      <t>a</t>
    </r>
  </si>
  <si>
    <t>Valeurs</t>
  </si>
  <si>
    <r>
      <rPr>
        <sz val="9"/>
        <color theme="1"/>
        <rFont val="Calibri"/>
        <charset val="134"/>
        <scheme val="minor"/>
      </rPr>
      <t>Total/combine (compression)</t>
    </r>
    <r>
      <rPr>
        <vertAlign val="superscript"/>
        <sz val="9"/>
        <color theme="1"/>
        <rFont val="Calibri"/>
        <charset val="134"/>
        <scheme val="minor"/>
      </rPr>
      <t>a</t>
    </r>
  </si>
  <si>
    <t>Fut en compression</t>
  </si>
  <si>
    <r>
      <rPr>
        <sz val="9"/>
        <color theme="1"/>
        <rFont val="Calibri"/>
        <charset val="134"/>
        <scheme val="minor"/>
      </rPr>
      <t>Fût en traction</t>
    </r>
    <r>
      <rPr>
        <vertAlign val="superscript"/>
        <sz val="9"/>
        <color theme="1"/>
        <rFont val="Calibri"/>
        <charset val="134"/>
        <scheme val="minor"/>
      </rPr>
      <t>a</t>
    </r>
  </si>
  <si>
    <t>Fût en traction (y compris micropieux)</t>
  </si>
  <si>
    <r>
      <rPr>
        <vertAlign val="superscript"/>
        <sz val="8"/>
        <color theme="1"/>
        <rFont val="Calibri"/>
        <charset val="134"/>
        <scheme val="minor"/>
      </rPr>
      <t xml:space="preserve">a  </t>
    </r>
    <r>
      <rPr>
        <sz val="8"/>
        <color theme="1"/>
        <rFont val="Calibri"/>
        <charset val="134"/>
        <scheme val="minor"/>
      </rPr>
      <t>conforme</t>
    </r>
    <r>
      <rPr>
        <vertAlign val="superscript"/>
        <sz val="8"/>
        <color theme="1"/>
        <rFont val="Calibri"/>
        <charset val="134"/>
        <scheme val="minor"/>
      </rPr>
      <t xml:space="preserve">  </t>
    </r>
    <r>
      <rPr>
        <sz val="8"/>
        <color theme="1"/>
        <rFont val="Calibri"/>
        <charset val="134"/>
        <scheme val="minor"/>
      </rPr>
      <t>aux tableaux A.6 à A.8 de l'annexe A de la NF EN 1997-1 - Jeu R2.</t>
    </r>
  </si>
  <si>
    <r>
      <rPr>
        <b/>
        <sz val="11"/>
        <color theme="1"/>
        <rFont val="Calibri"/>
        <charset val="134"/>
        <scheme val="minor"/>
      </rPr>
      <t>Tableau C.2.3.2 - Facteurs partiels de résistance (</t>
    </r>
    <r>
      <rPr>
        <b/>
        <sz val="11"/>
        <color theme="1"/>
        <rFont val="Calibri"/>
        <charset val="134"/>
      </rPr>
      <t>ϒ</t>
    </r>
    <r>
      <rPr>
        <b/>
        <vertAlign val="subscript"/>
        <sz val="12.65"/>
        <color theme="1"/>
        <rFont val="Calibri"/>
        <charset val="134"/>
      </rPr>
      <t>R</t>
    </r>
    <r>
      <rPr>
        <b/>
        <sz val="11"/>
        <color theme="1"/>
        <rFont val="Calibri"/>
        <charset val="134"/>
      </rPr>
      <t>)</t>
    </r>
    <r>
      <rPr>
        <b/>
        <sz val="12.65"/>
        <color theme="1"/>
        <rFont val="Calibri"/>
        <charset val="134"/>
      </rPr>
      <t xml:space="preserve"> </t>
    </r>
    <r>
      <rPr>
        <b/>
        <sz val="11"/>
        <color theme="1"/>
        <rFont val="Calibri"/>
        <charset val="134"/>
      </rPr>
      <t>pour les pieux - ELU -Situations accidentelles</t>
    </r>
  </si>
  <si>
    <t>Fût (compression)</t>
  </si>
  <si>
    <t>Total/combine (compression)</t>
  </si>
  <si>
    <t>Fût en traction</t>
  </si>
  <si>
    <t>Données de l'annexe F de la NF P94-262</t>
  </si>
  <si>
    <r>
      <rPr>
        <b/>
        <sz val="11"/>
        <color theme="1"/>
        <rFont val="Calibri"/>
        <charset val="134"/>
        <scheme val="minor"/>
      </rPr>
      <t>Tableau F.4.2.1 - Valeur du facteur de portance pressiométrique k</t>
    </r>
    <r>
      <rPr>
        <b/>
        <vertAlign val="subscript"/>
        <sz val="11"/>
        <color theme="1"/>
        <rFont val="Calibri"/>
        <charset val="134"/>
        <scheme val="minor"/>
      </rPr>
      <t xml:space="preserve">pmax </t>
    </r>
    <r>
      <rPr>
        <b/>
        <sz val="11"/>
        <color theme="1"/>
        <rFont val="Calibri"/>
        <charset val="134"/>
        <scheme val="minor"/>
      </rPr>
      <t>pour un encastrement relatif Def/B &gt;5</t>
    </r>
  </si>
  <si>
    <t>Tableau F.2.1 - Valeur des coefficients de modèle pour la méthode pressiométrique</t>
  </si>
  <si>
    <t>Terrain</t>
  </si>
  <si>
    <r>
      <rPr>
        <sz val="10"/>
        <color theme="1"/>
        <rFont val="Calibri"/>
        <charset val="134"/>
        <scheme val="minor"/>
      </rPr>
      <t>Argile % CaCO</t>
    </r>
    <r>
      <rPr>
        <vertAlign val="subscript"/>
        <sz val="10"/>
        <color theme="1"/>
        <rFont val="Calibri"/>
        <charset val="134"/>
        <scheme val="minor"/>
      </rPr>
      <t>3</t>
    </r>
    <r>
      <rPr>
        <sz val="10"/>
        <color theme="1"/>
        <rFont val="Calibri"/>
        <charset val="134"/>
        <scheme val="minor"/>
      </rPr>
      <t xml:space="preserve"> &lt; 30 % Limon Sols intermédiaires</t>
    </r>
  </si>
  <si>
    <t>Sols intermédiaires Sable Grave</t>
  </si>
  <si>
    <t>Roche altérée et fragmentée (a)</t>
  </si>
  <si>
    <t>Procédure du "pieu modèle"
Procédure du "modèle de terrain"</t>
  </si>
  <si>
    <t>Procédure du "modèle de terrain"</t>
  </si>
  <si>
    <t>Ancrage dans la craie</t>
  </si>
  <si>
    <t>Classe de pieu (c)</t>
  </si>
  <si>
    <r>
      <rPr>
        <sz val="6"/>
        <color theme="1"/>
        <rFont val="Calibri"/>
        <charset val="134"/>
        <scheme val="minor"/>
      </rPr>
      <t>ϒ</t>
    </r>
    <r>
      <rPr>
        <vertAlign val="subscript"/>
        <sz val="6"/>
        <color theme="1"/>
        <rFont val="Calibri"/>
        <charset val="134"/>
        <scheme val="minor"/>
      </rPr>
      <t>R ;d1</t>
    </r>
  </si>
  <si>
    <r>
      <rPr>
        <sz val="6"/>
        <color theme="1"/>
        <rFont val="Calibri"/>
        <charset val="134"/>
        <scheme val="minor"/>
      </rPr>
      <t>ϒ</t>
    </r>
    <r>
      <rPr>
        <vertAlign val="subscript"/>
        <sz val="6"/>
        <color theme="1"/>
        <rFont val="Calibri"/>
        <charset val="134"/>
        <scheme val="minor"/>
      </rPr>
      <t>R ;d2</t>
    </r>
  </si>
  <si>
    <r>
      <rPr>
        <sz val="9"/>
        <color theme="1"/>
        <rFont val="Calibri"/>
        <charset val="134"/>
      </rPr>
      <t>Compression
ϒ</t>
    </r>
    <r>
      <rPr>
        <vertAlign val="subscript"/>
        <sz val="9"/>
        <color theme="1"/>
        <rFont val="Calibri"/>
        <charset val="134"/>
      </rPr>
      <t>R ;d1</t>
    </r>
  </si>
  <si>
    <r>
      <rPr>
        <sz val="9"/>
        <color theme="1"/>
        <rFont val="Calibri"/>
        <charset val="134"/>
      </rPr>
      <t>Traction
ϒ</t>
    </r>
    <r>
      <rPr>
        <vertAlign val="subscript"/>
        <sz val="9"/>
        <color theme="1"/>
        <rFont val="Calibri"/>
        <charset val="134"/>
      </rPr>
      <t>R ;d1</t>
    </r>
  </si>
  <si>
    <r>
      <rPr>
        <sz val="9"/>
        <color theme="1"/>
        <rFont val="Calibri"/>
        <charset val="134"/>
      </rPr>
      <t>Compression
ϒ</t>
    </r>
    <r>
      <rPr>
        <vertAlign val="subscript"/>
        <sz val="9"/>
        <color theme="1"/>
        <rFont val="Calibri"/>
        <charset val="134"/>
      </rPr>
      <t>R ;d2</t>
    </r>
  </si>
  <si>
    <r>
      <rPr>
        <sz val="9"/>
        <color theme="1"/>
        <rFont val="Calibri"/>
        <charset val="134"/>
      </rPr>
      <t>Traction
ϒ</t>
    </r>
    <r>
      <rPr>
        <vertAlign val="subscript"/>
        <sz val="9"/>
        <color theme="1"/>
        <rFont val="Calibri"/>
        <charset val="134"/>
      </rPr>
      <t>R ;d2</t>
    </r>
  </si>
  <si>
    <t>Pieux non ancrés dans la craie de classe 1 à 7 hors pieux de catégorie 10 et 15</t>
  </si>
  <si>
    <t>Pieux ancrés dans la craie de classe 1 à 7 hors pieux de catégorie 10, 15, 17, 18, 19 et 20</t>
  </si>
  <si>
    <t>Pieux de catégorie 10, 15, 17, 18 19 et 20</t>
  </si>
  <si>
    <r>
      <rPr>
        <sz val="9"/>
        <color theme="1"/>
        <rFont val="Calibri"/>
        <charset val="134"/>
        <scheme val="minor"/>
      </rPr>
      <t>(#) Pour les pieux de type BAO, HB et PP, mis en œuvre par vibrofonçage, au lieu de battage, il y a lieu de faire un abbattement de 50 % sur le facteur k</t>
    </r>
    <r>
      <rPr>
        <vertAlign val="subscript"/>
        <sz val="9"/>
        <color theme="1"/>
        <rFont val="Calibri"/>
        <charset val="134"/>
        <scheme val="minor"/>
      </rPr>
      <t>p</t>
    </r>
    <r>
      <rPr>
        <sz val="9"/>
        <color theme="1"/>
        <rFont val="Calibri"/>
        <charset val="134"/>
        <scheme val="minor"/>
      </rPr>
      <t>.
(a) La valeur de k</t>
    </r>
    <r>
      <rPr>
        <vertAlign val="subscript"/>
        <sz val="9"/>
        <color theme="1"/>
        <rFont val="Calibri"/>
        <charset val="134"/>
        <scheme val="minor"/>
      </rPr>
      <t>p</t>
    </r>
    <r>
      <rPr>
        <sz val="9"/>
        <color theme="1"/>
        <rFont val="Calibri"/>
        <charset val="134"/>
        <scheme val="minor"/>
      </rPr>
      <t xml:space="preserve"> pour les roches altérées et fragmentées doit être prise égale à celle de la formation meuble du tableau à laquelle le matériau concerné s'apparente le plus. Dans le cas des roches saines, il convient (F.1 (2) Note 1) d'apprécier si une justification basée sur les méthodes de la présente annexe F et à l'évidence pessimiste est suffisante, ou bien s'il convient d'avoir recours aux méthodes spécifiques de la mécanique des roches.
(b) Pour les micropieux, la résistance de pointe n'est normalement pas prise en compte.
(c) Il convient de se référer à l'article A.10 pour le choix des périmètres et des aires des pieux à considérer dans les calculs.
(d) D'autres valeurs de k</t>
    </r>
    <r>
      <rPr>
        <vertAlign val="subscript"/>
        <sz val="9"/>
        <color theme="1"/>
        <rFont val="Calibri"/>
        <charset val="134"/>
        <scheme val="minor"/>
      </rPr>
      <t>pmax</t>
    </r>
    <r>
      <rPr>
        <sz val="9"/>
        <color theme="1"/>
        <rFont val="Calibri"/>
        <charset val="134"/>
        <scheme val="minor"/>
      </rPr>
      <t xml:space="preserve"> peuvent être utilisées à condition de satisfaire les conditions de la clause 9 de la section 1.</t>
    </r>
  </si>
  <si>
    <r>
      <rPr>
        <b/>
        <sz val="11"/>
        <color theme="1"/>
        <rFont val="Calibri"/>
        <charset val="134"/>
        <scheme val="minor"/>
      </rPr>
      <t>Tableau F.5.2.2 - Valeurs numériques des paramètres a, b, c des courbes f</t>
    </r>
    <r>
      <rPr>
        <b/>
        <vertAlign val="subscript"/>
        <sz val="11"/>
        <color theme="1"/>
        <rFont val="Calibri"/>
        <charset val="134"/>
        <scheme val="minor"/>
      </rPr>
      <t>sol</t>
    </r>
    <r>
      <rPr>
        <b/>
        <sz val="11"/>
        <color theme="1"/>
        <rFont val="Calibri"/>
        <charset val="134"/>
        <scheme val="minor"/>
      </rPr>
      <t xml:space="preserve"> - Méthode pressiométrique</t>
    </r>
  </si>
  <si>
    <t>Marne et calcaire-marneux</t>
  </si>
  <si>
    <t>Choix de la courbe</t>
  </si>
  <si>
    <t>Q1</t>
  </si>
  <si>
    <t>Q2</t>
  </si>
  <si>
    <t>Q3</t>
  </si>
  <si>
    <t>Q4</t>
  </si>
  <si>
    <t>Q5</t>
  </si>
  <si>
    <r>
      <rPr>
        <b/>
        <sz val="11"/>
        <color theme="1"/>
        <rFont val="Calibri"/>
        <charset val="134"/>
        <scheme val="minor"/>
      </rPr>
      <t xml:space="preserve">Tableau F.5.2.1 - Choix des valurs de </t>
    </r>
    <r>
      <rPr>
        <b/>
        <sz val="11"/>
        <color theme="1"/>
        <rFont val="Calibri"/>
        <charset val="134"/>
      </rPr>
      <t>α</t>
    </r>
    <r>
      <rPr>
        <b/>
        <vertAlign val="subscript"/>
        <sz val="11"/>
        <color theme="1"/>
        <rFont val="Calibri"/>
        <charset val="134"/>
      </rPr>
      <t xml:space="preserve">pieu-sol </t>
    </r>
    <r>
      <rPr>
        <b/>
        <sz val="11"/>
        <color theme="1"/>
        <rFont val="Calibri"/>
        <charset val="134"/>
      </rPr>
      <t>- Méthode pressiométrique</t>
    </r>
  </si>
  <si>
    <t>Marne et Calcaire-marneux</t>
  </si>
  <si>
    <t>pl* [MPa]</t>
  </si>
  <si>
    <r>
      <rPr>
        <sz val="11"/>
        <color theme="1"/>
        <rFont val="Calibri"/>
        <charset val="134"/>
        <scheme val="minor"/>
      </rPr>
      <t>f</t>
    </r>
    <r>
      <rPr>
        <vertAlign val="subscript"/>
        <sz val="11"/>
        <color theme="1"/>
        <rFont val="Calibri"/>
        <charset val="134"/>
        <scheme val="minor"/>
      </rPr>
      <t>sol</t>
    </r>
    <r>
      <rPr>
        <sz val="11"/>
        <color theme="1"/>
        <rFont val="Calibri"/>
        <charset val="134"/>
        <scheme val="minor"/>
      </rPr>
      <t xml:space="preserve"> [kPa]</t>
    </r>
  </si>
  <si>
    <t>FTC, FTCD (c)</t>
  </si>
  <si>
    <t>courbe</t>
  </si>
  <si>
    <r>
      <rPr>
        <sz val="9"/>
        <color theme="1"/>
        <rFont val="Calibri"/>
        <charset val="134"/>
        <scheme val="minor"/>
      </rPr>
      <t>** Il convient de se reporter à l'article A.10 pour le calcul du périmètre.
# Pour les pieux de type BAO, HB et PP, mis en œuvre par vibrofonçage, et pas par battage, il y a lieu de faire un abattement de 30 % sur les valeurs de q</t>
    </r>
    <r>
      <rPr>
        <vertAlign val="subscript"/>
        <sz val="9"/>
        <color theme="1"/>
        <rFont val="Calibri"/>
        <charset val="134"/>
        <scheme val="minor"/>
      </rPr>
      <t>s</t>
    </r>
    <r>
      <rPr>
        <sz val="9"/>
        <color theme="1"/>
        <rFont val="Calibri"/>
        <charset val="134"/>
        <scheme val="minor"/>
      </rPr>
      <t xml:space="preserve">.
## Pour les pieux de grande longueur, il convient d'appliquer la clause (6) de la présente section.
(a) Pour les micropieux BE, HBi, MIGU, PIGU, PIRS et MIRS, les valeurs proposées correspondent à une exécution stricte et soignée de l'injection correspondante. Les essais de conformité (Section 8.9) permettront de définir précisément les valeurs de frottement axial unitaire à considérer. Il convient ensuite d'appliquer les valeurs </t>
    </r>
    <r>
      <rPr>
        <sz val="9"/>
        <color theme="1"/>
        <rFont val="Calibri"/>
        <charset val="134"/>
      </rPr>
      <t>ε1' et ε2' du tableau C.2.3.1. On attire l'attention que cette recommandation est d'autant plus importante dans les argiles et les marnes que les performances dans ces terrains sont très sensibles à toute insuffisance lors de la mise en oeuvre.
(b) Pour les micropieux et les pieux de catégorie 17 et 18, il convient de considérer les valeurs de frottement axial unitaire des techniques de pieux ou de micropieux les plus proches sur le plan de la technologie.
(c) Les valeurs mentionnées pour les fondations profondes de catégorie 6 sont données pour des pieux réalisés avec un enregistrement continu des paramètres de forage et bétonnage (Tableau 6.4.4.1 Note (1)). Dans le cas contraire, on s'expose à des discontinuités et des détérioration du pieu lors de sa réalisation.
(d) Les valeurs mentionnées pour les fondations profondes de catégorie 7 mises en oeuvre avec une technique de bétonnage directement à la pompe à béton sont données pour des pieux réalisés avec un enregistrement continu des paramètres de réalisation du pieu. Dans le cas contraire, on s'expose à des discontinuités et des détériorations du pieu lors de sa réalisation.
(e) Il convient de se réferer à l'article A.10 pour le choix des périmètres et des aires des pieux à considérer dans les calculs.
(f) D'autres valeurs peuvent être utilisées à condition de satisfaire les conditions de la clause 9 de la section 1.</t>
    </r>
  </si>
  <si>
    <t>Données de l'annexe G de la NF P94-262</t>
  </si>
  <si>
    <r>
      <rPr>
        <b/>
        <sz val="11"/>
        <color theme="1"/>
        <rFont val="Calibri"/>
        <charset val="134"/>
        <scheme val="minor"/>
      </rPr>
      <t>Tableau G.4.2.1 - Valeur du facteur de portance pénétrométrique k</t>
    </r>
    <r>
      <rPr>
        <b/>
        <vertAlign val="subscript"/>
        <sz val="11"/>
        <color theme="1"/>
        <rFont val="Calibri"/>
        <charset val="134"/>
        <scheme val="minor"/>
      </rPr>
      <t xml:space="preserve">cmax </t>
    </r>
    <r>
      <rPr>
        <b/>
        <sz val="11"/>
        <color theme="1"/>
        <rFont val="Calibri"/>
        <charset val="134"/>
        <scheme val="minor"/>
      </rPr>
      <t>pour un encastrement relatif Def/B &gt;5</t>
    </r>
  </si>
  <si>
    <t>Tableau G.2.1 - Valeur des coefficients de modèle pour la méthode pénétrométrique</t>
  </si>
  <si>
    <t>Sol intermédiaire</t>
  </si>
  <si>
    <t>Roche altérée ou fragmentée (a)</t>
  </si>
  <si>
    <r>
      <rPr>
        <sz val="9"/>
        <color theme="1"/>
        <rFont val="Calibri"/>
        <charset val="134"/>
        <scheme val="minor"/>
      </rPr>
      <t>(#) Pour les pieux de type BAO, HB et PP, mis en œuvre par vibrofonçage, au lieu de battage, il y a lieu de faire un abbattement de 50 % sur le facteur k</t>
    </r>
    <r>
      <rPr>
        <vertAlign val="subscript"/>
        <sz val="9"/>
        <color theme="1"/>
        <rFont val="Calibri"/>
        <charset val="134"/>
        <scheme val="minor"/>
      </rPr>
      <t>c</t>
    </r>
    <r>
      <rPr>
        <sz val="9"/>
        <color theme="1"/>
        <rFont val="Calibri"/>
        <charset val="134"/>
        <scheme val="minor"/>
      </rPr>
      <t>.
(a) La valeur de k</t>
    </r>
    <r>
      <rPr>
        <vertAlign val="subscript"/>
        <sz val="9"/>
        <color theme="1"/>
        <rFont val="Calibri"/>
        <charset val="134"/>
        <scheme val="minor"/>
      </rPr>
      <t>c</t>
    </r>
    <r>
      <rPr>
        <sz val="9"/>
        <color theme="1"/>
        <rFont val="Calibri"/>
        <charset val="134"/>
        <scheme val="minor"/>
      </rPr>
      <t xml:space="preserve"> pour les roches altérées et fragmentées doit être prise égale à celle de la formation meuble du tableau à laquelle le matériau concerné s'apparente le plus. Dans le cas des roches saines, il convient (G.1 (3) Note 1) d'apprécier si une justification basée sur les méthodes de la présente annexe G et à l'évidence pessimiste est suffisante, ou bien s'il convient d'avoir recours aux méthodes spécifiques de la mécanique des roches.
(b) Pour les micropieux, la résistance de pointe n'est normalement pas prise en compte.
(c) Il convient de se référer à l'article A.10 pour le choix des périmètres et des aires des pieux à considérer dans les calculs.
(d) D'autres valeurs de k</t>
    </r>
    <r>
      <rPr>
        <vertAlign val="subscript"/>
        <sz val="9"/>
        <color theme="1"/>
        <rFont val="Calibri"/>
        <charset val="134"/>
        <scheme val="minor"/>
      </rPr>
      <t>cmax</t>
    </r>
    <r>
      <rPr>
        <sz val="9"/>
        <color theme="1"/>
        <rFont val="Calibri"/>
        <charset val="134"/>
        <scheme val="minor"/>
      </rPr>
      <t xml:space="preserve"> peuvent être utilisées à condition de satisfaire les conditions de la clause 9 de la section 1.</t>
    </r>
  </si>
  <si>
    <r>
      <rPr>
        <b/>
        <sz val="11"/>
        <color theme="1"/>
        <rFont val="Calibri"/>
        <charset val="134"/>
        <scheme val="minor"/>
      </rPr>
      <t>Tableau G.5.2.2 - Valeurs numériques des paramètres a, b et c des courbes f</t>
    </r>
    <r>
      <rPr>
        <b/>
        <vertAlign val="subscript"/>
        <sz val="11"/>
        <color theme="1"/>
        <rFont val="Calibri"/>
        <charset val="134"/>
        <scheme val="minor"/>
      </rPr>
      <t>sol</t>
    </r>
    <r>
      <rPr>
        <b/>
        <sz val="11"/>
        <color theme="1"/>
        <rFont val="Calibri"/>
        <charset val="134"/>
        <scheme val="minor"/>
      </rPr>
      <t xml:space="preserve"> - Méthode pénétrométrique</t>
    </r>
  </si>
  <si>
    <t>Argiles</t>
  </si>
  <si>
    <t>Sables</t>
  </si>
  <si>
    <t xml:space="preserve">Roche altérée ou fragmentée </t>
  </si>
  <si>
    <r>
      <rPr>
        <b/>
        <sz val="11"/>
        <color theme="1"/>
        <rFont val="Calibri"/>
        <charset val="134"/>
        <scheme val="minor"/>
      </rPr>
      <t xml:space="preserve">Tableau F.5.2.1 - Choix des valurs de </t>
    </r>
    <r>
      <rPr>
        <b/>
        <sz val="11"/>
        <color theme="1"/>
        <rFont val="Calibri"/>
        <charset val="134"/>
      </rPr>
      <t>α</t>
    </r>
    <r>
      <rPr>
        <b/>
        <vertAlign val="subscript"/>
        <sz val="11"/>
        <color theme="1"/>
        <rFont val="Calibri"/>
        <charset val="134"/>
      </rPr>
      <t xml:space="preserve">pieu-sol </t>
    </r>
    <r>
      <rPr>
        <b/>
        <sz val="11"/>
        <color theme="1"/>
        <rFont val="Calibri"/>
        <charset val="134"/>
      </rPr>
      <t>- Méthode pénétrométrique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</si>
</sst>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7" formatCode="0.00&quot; (b)&quot;"/>
    <numFmt numFmtId="168" formatCode="0&quot; #&quot;"/>
    <numFmt numFmtId="169" formatCode="0.0000"/>
    <numFmt numFmtId="170" formatCode="0&quot; mm&quot;"/>
    <numFmt numFmtId="171" formatCode="0.00&quot; m&quot;"/>
    <numFmt numFmtId="172" formatCode="0.000&quot; m²&quot;"/>
    <numFmt numFmtId="173" formatCode="0.00&quot; MPa&quot;"/>
    <numFmt numFmtId="174" formatCode="&quot; = &quot;0.000&quot; m² si pieu circulaire&quot;"/>
    <numFmt numFmtId="175" formatCode="0.00&quot; kPa&quot;"/>
    <numFmt numFmtId="176" formatCode="0&quot; kPa&quot;"/>
    <numFmt numFmtId="177" formatCode="0.00&quot; m²&quot;"/>
    <numFmt numFmtId="178" formatCode="0.00&quot; kN&quot;"/>
    <numFmt numFmtId="179" formatCode="0.0_ "/>
    <numFmt numFmtId="180" formatCode="&quot;Couches &lt; &quot;0.00&quot; m de profondeur&quot;"/>
  </numFmts>
  <fonts count="34">
    <font>
      <sz val="11"/>
      <color theme="1"/>
      <name val="Calibri"/>
      <charset val="134"/>
      <scheme val="minor"/>
    </font>
    <font>
      <b/>
      <sz val="16"/>
      <color theme="1"/>
      <name val="Calibri"/>
      <charset val="134"/>
      <scheme val="minor"/>
    </font>
    <font>
      <b/>
      <sz val="11"/>
      <color theme="1"/>
      <name val="Calibri"/>
      <charset val="134"/>
      <scheme val="minor"/>
    </font>
    <font>
      <sz val="10"/>
      <color theme="1"/>
      <name val="Calibri"/>
      <charset val="134"/>
      <scheme val="minor"/>
    </font>
    <font>
      <sz val="9"/>
      <color theme="1"/>
      <name val="Calibri"/>
      <charset val="134"/>
      <scheme val="minor"/>
    </font>
    <font>
      <sz val="8"/>
      <color theme="1"/>
      <name val="Calibri"/>
      <charset val="134"/>
      <scheme val="minor"/>
    </font>
    <font>
      <sz val="9"/>
      <color theme="1"/>
      <name val="Calibri"/>
      <charset val="134"/>
    </font>
    <font>
      <sz val="6"/>
      <color theme="1"/>
      <name val="Calibri"/>
      <charset val="134"/>
      <scheme val="minor"/>
    </font>
    <font>
      <sz val="10"/>
      <color theme="1"/>
      <name val="Calibri"/>
      <charset val="134"/>
    </font>
    <font>
      <vertAlign val="superscript"/>
      <sz val="8"/>
      <color theme="1"/>
      <name val="Calibri"/>
      <charset val="134"/>
      <scheme val="minor"/>
    </font>
    <font>
      <i/>
      <sz val="11"/>
      <color theme="1"/>
      <name val="Calibri"/>
      <charset val="134"/>
      <scheme val="minor"/>
    </font>
    <font>
      <i/>
      <sz val="10"/>
      <color rgb="FF0070C0"/>
      <name val="Calibri"/>
      <charset val="134"/>
      <scheme val="minor"/>
    </font>
    <font>
      <i/>
      <u/>
      <sz val="11"/>
      <color theme="1"/>
      <name val="Calibri"/>
      <charset val="134"/>
      <scheme val="minor"/>
    </font>
    <font>
      <b/>
      <sz val="8"/>
      <color rgb="FF0070C0"/>
      <name val="Calibri"/>
      <charset val="134"/>
      <scheme val="minor"/>
    </font>
    <font>
      <i/>
      <sz val="10"/>
      <color theme="1"/>
      <name val="Calibri"/>
      <charset val="134"/>
      <scheme val="minor"/>
    </font>
    <font>
      <u/>
      <sz val="12"/>
      <color rgb="FF0070C0"/>
      <name val="Calibri"/>
      <charset val="134"/>
      <scheme val="minor"/>
    </font>
    <font>
      <sz val="8"/>
      <color rgb="FF0070C0"/>
      <name val="Calibri"/>
      <charset val="134"/>
      <scheme val="minor"/>
    </font>
    <font>
      <b/>
      <sz val="10"/>
      <color theme="1"/>
      <name val="Calibri"/>
      <charset val="134"/>
      <scheme val="minor"/>
    </font>
    <font>
      <i/>
      <sz val="9"/>
      <color theme="1"/>
      <name val="Calibri"/>
      <charset val="134"/>
      <scheme val="minor"/>
    </font>
    <font>
      <b/>
      <sz val="9"/>
      <color theme="1"/>
      <name val="Calibri"/>
      <charset val="134"/>
      <scheme val="minor"/>
    </font>
    <font>
      <vertAlign val="subscript"/>
      <sz val="9"/>
      <color theme="1"/>
      <name val="Calibri"/>
      <charset val="134"/>
      <scheme val="minor"/>
    </font>
    <font>
      <vertAlign val="subscript"/>
      <sz val="10"/>
      <color theme="1"/>
      <name val="Calibri"/>
      <charset val="134"/>
    </font>
    <font>
      <b/>
      <vertAlign val="subscript"/>
      <sz val="11"/>
      <color theme="1"/>
      <name val="Calibri"/>
      <charset val="134"/>
      <scheme val="minor"/>
    </font>
    <font>
      <vertAlign val="subscript"/>
      <sz val="10"/>
      <color theme="1"/>
      <name val="Calibri"/>
      <charset val="134"/>
      <scheme val="minor"/>
    </font>
    <font>
      <vertAlign val="subscript"/>
      <sz val="9"/>
      <color theme="1"/>
      <name val="Calibri"/>
      <charset val="134"/>
    </font>
    <font>
      <vertAlign val="subscript"/>
      <sz val="6"/>
      <color theme="1"/>
      <name val="Calibri"/>
      <charset val="134"/>
      <scheme val="minor"/>
    </font>
    <font>
      <b/>
      <sz val="11"/>
      <color theme="1"/>
      <name val="Calibri"/>
      <charset val="134"/>
    </font>
    <font>
      <b/>
      <vertAlign val="subscript"/>
      <sz val="11"/>
      <color theme="1"/>
      <name val="Calibri"/>
      <charset val="134"/>
    </font>
    <font>
      <vertAlign val="superscript"/>
      <sz val="9"/>
      <color theme="1"/>
      <name val="Calibri"/>
      <charset val="134"/>
      <scheme val="minor"/>
    </font>
    <font>
      <b/>
      <vertAlign val="subscript"/>
      <sz val="12.65"/>
      <color theme="1"/>
      <name val="Calibri"/>
      <charset val="134"/>
    </font>
    <font>
      <b/>
      <sz val="12.65"/>
      <color theme="1"/>
      <name val="Calibri"/>
      <charset val="134"/>
    </font>
    <font>
      <i/>
      <vertAlign val="subscript"/>
      <sz val="9"/>
      <color theme="1"/>
      <name val="Calibri"/>
      <charset val="134"/>
      <scheme val="minor"/>
    </font>
    <font>
      <vertAlign val="subscript"/>
      <sz val="11"/>
      <color theme="1"/>
      <name val="Calibri"/>
      <charset val="134"/>
      <scheme val="minor"/>
    </font>
    <font>
      <sz val="11"/>
      <color theme="1"/>
      <name val="Calibri"/>
      <charset val="134"/>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79995117038483843"/>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dashed">
        <color auto="1"/>
      </right>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dashed">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164" fontId="33" fillId="0" borderId="0" applyFont="0" applyFill="0" applyBorder="0" applyAlignment="0" applyProtection="0"/>
  </cellStyleXfs>
  <cellXfs count="215">
    <xf numFmtId="0" fontId="0" fillId="0" borderId="0" xfId="0"/>
    <xf numFmtId="0" fontId="1" fillId="0" borderId="0" xfId="0" applyFont="1"/>
    <xf numFmtId="0" fontId="3" fillId="0" borderId="1" xfId="0" applyFont="1" applyBorder="1" applyAlignment="1">
      <alignment horizontal="center" vertical="center" wrapText="1"/>
    </xf>
    <xf numFmtId="0" fontId="0" fillId="0" borderId="1" xfId="0" applyBorder="1" applyAlignment="1">
      <alignment horizontal="center"/>
    </xf>
    <xf numFmtId="2" fontId="3" fillId="0" borderId="1" xfId="0" applyNumberFormat="1" applyFont="1" applyBorder="1" applyAlignment="1">
      <alignment horizontal="center"/>
    </xf>
    <xf numFmtId="0" fontId="4" fillId="0" borderId="0" xfId="0" applyFont="1" applyAlignment="1">
      <alignment vertical="top"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0" fontId="3" fillId="0" borderId="0" xfId="0" applyFont="1"/>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wrapText="1"/>
    </xf>
    <xf numFmtId="167"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169" fontId="7" fillId="2" borderId="1"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167"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4" fillId="0" borderId="1" xfId="0" applyFont="1" applyBorder="1" applyAlignment="1">
      <alignment horizontal="center"/>
    </xf>
    <xf numFmtId="0" fontId="8" fillId="0" borderId="1" xfId="0" applyFont="1" applyBorder="1" applyAlignment="1">
      <alignment horizontal="center"/>
    </xf>
    <xf numFmtId="0" fontId="3" fillId="0" borderId="6" xfId="0" applyFont="1" applyBorder="1" applyAlignment="1">
      <alignment horizontal="center" vertical="center"/>
    </xf>
    <xf numFmtId="1" fontId="7" fillId="2" borderId="1" xfId="0" applyNumberFormat="1" applyFont="1" applyFill="1" applyBorder="1" applyAlignment="1">
      <alignment horizontal="center" vertical="center"/>
    </xf>
    <xf numFmtId="0" fontId="1" fillId="4" borderId="0" xfId="0" applyFont="1" applyFill="1"/>
    <xf numFmtId="0" fontId="10" fillId="0" borderId="0" xfId="0" applyFont="1"/>
    <xf numFmtId="0" fontId="3" fillId="5" borderId="1" xfId="0" applyFont="1" applyFill="1" applyBorder="1" applyAlignment="1">
      <alignment horizontal="center" vertical="center"/>
    </xf>
    <xf numFmtId="0" fontId="0" fillId="0" borderId="0" xfId="0" applyAlignment="1">
      <alignment vertical="center"/>
    </xf>
    <xf numFmtId="0" fontId="1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1" fontId="3" fillId="4" borderId="1" xfId="0" applyNumberFormat="1" applyFont="1" applyFill="1" applyBorder="1" applyAlignment="1">
      <alignment horizontal="center" vertical="center" wrapText="1"/>
    </xf>
    <xf numFmtId="173" fontId="3" fillId="0" borderId="1" xfId="0" applyNumberFormat="1" applyFont="1" applyBorder="1" applyAlignment="1">
      <alignment horizontal="center" vertical="center"/>
    </xf>
    <xf numFmtId="0" fontId="14" fillId="0" borderId="0" xfId="0" applyFont="1" applyAlignment="1">
      <alignment vertical="top" wrapText="1"/>
    </xf>
    <xf numFmtId="0" fontId="15" fillId="0" borderId="0" xfId="0" applyFont="1" applyAlignment="1">
      <alignment vertical="center"/>
    </xf>
    <xf numFmtId="0" fontId="3" fillId="5" borderId="7" xfId="0" applyFont="1" applyFill="1" applyBorder="1" applyAlignment="1">
      <alignment horizontal="center" vertical="center"/>
    </xf>
    <xf numFmtId="171" fontId="3" fillId="0" borderId="1" xfId="0" applyNumberFormat="1" applyFont="1" applyBorder="1" applyAlignment="1">
      <alignment horizontal="center" vertical="center"/>
    </xf>
    <xf numFmtId="0" fontId="16" fillId="0" borderId="0" xfId="0" applyFont="1" applyAlignment="1">
      <alignment vertical="center"/>
    </xf>
    <xf numFmtId="171" fontId="3" fillId="0" borderId="9" xfId="0" applyNumberFormat="1" applyFont="1" applyBorder="1" applyAlignment="1">
      <alignment horizontal="center" vertical="center"/>
    </xf>
    <xf numFmtId="173" fontId="17" fillId="0" borderId="16" xfId="0" applyNumberFormat="1" applyFont="1" applyBorder="1" applyAlignment="1">
      <alignment horizontal="center" vertical="center"/>
    </xf>
    <xf numFmtId="171" fontId="17" fillId="0" borderId="16" xfId="0" applyNumberFormat="1" applyFont="1" applyBorder="1" applyAlignment="1">
      <alignment horizontal="center" vertical="center"/>
    </xf>
    <xf numFmtId="0" fontId="0" fillId="0" borderId="17" xfId="0" applyBorder="1" applyAlignment="1">
      <alignment vertical="center"/>
    </xf>
    <xf numFmtId="171" fontId="3" fillId="4" borderId="1" xfId="0" applyNumberFormat="1" applyFont="1" applyFill="1" applyBorder="1" applyAlignment="1">
      <alignment horizontal="center" vertical="center" wrapText="1"/>
    </xf>
    <xf numFmtId="171" fontId="3" fillId="0" borderId="1" xfId="0" applyNumberFormat="1" applyFont="1" applyBorder="1" applyAlignment="1">
      <alignment horizontal="center" vertical="center" wrapText="1"/>
    </xf>
    <xf numFmtId="173" fontId="3" fillId="4" borderId="1" xfId="0" applyNumberFormat="1" applyFont="1" applyFill="1" applyBorder="1" applyAlignment="1">
      <alignment horizontal="center" vertical="center" wrapText="1"/>
    </xf>
    <xf numFmtId="16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8" fillId="5" borderId="1" xfId="0" applyFont="1" applyFill="1" applyBorder="1" applyAlignment="1">
      <alignment horizontal="center" vertical="center"/>
    </xf>
    <xf numFmtId="0" fontId="0" fillId="0" borderId="24" xfId="0" applyBorder="1" applyAlignment="1">
      <alignment vertical="center"/>
    </xf>
    <xf numFmtId="175"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178" fontId="0" fillId="0" borderId="0" xfId="0" applyNumberFormat="1"/>
    <xf numFmtId="0" fontId="8" fillId="5" borderId="32" xfId="0" applyFont="1" applyFill="1" applyBorder="1" applyAlignment="1">
      <alignment horizontal="center" vertical="center"/>
    </xf>
    <xf numFmtId="178" fontId="3" fillId="0" borderId="1" xfId="0" applyNumberFormat="1" applyFont="1" applyBorder="1" applyAlignment="1">
      <alignment horizontal="center" vertical="center" wrapText="1"/>
    </xf>
    <xf numFmtId="179" fontId="0" fillId="0" borderId="0" xfId="0" applyNumberFormat="1"/>
    <xf numFmtId="173" fontId="3" fillId="0" borderId="6" xfId="0" applyNumberFormat="1" applyFont="1" applyBorder="1" applyAlignment="1">
      <alignment horizontal="center" vertical="center"/>
    </xf>
    <xf numFmtId="0" fontId="3" fillId="4" borderId="7"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xf>
    <xf numFmtId="0" fontId="3" fillId="5" borderId="1" xfId="0" applyFont="1" applyFill="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3" fillId="0" borderId="1" xfId="0" applyFont="1" applyBorder="1" applyAlignment="1">
      <alignment horizontal="center" vertical="center"/>
    </xf>
    <xf numFmtId="0" fontId="4" fillId="5" borderId="7" xfId="0" applyFont="1" applyFill="1" applyBorder="1" applyAlignment="1">
      <alignment horizontal="left" vertical="center"/>
    </xf>
    <xf numFmtId="0" fontId="4" fillId="5" borderId="10" xfId="0" applyFont="1" applyFill="1" applyBorder="1" applyAlignment="1">
      <alignment horizontal="left" vertical="center"/>
    </xf>
    <xf numFmtId="0" fontId="4" fillId="5" borderId="8" xfId="0" applyFont="1" applyFill="1" applyBorder="1" applyAlignment="1">
      <alignment horizontal="left" vertical="center"/>
    </xf>
    <xf numFmtId="170" fontId="3" fillId="4" borderId="1" xfId="0" applyNumberFormat="1" applyFont="1" applyFill="1" applyBorder="1" applyAlignment="1">
      <alignment horizontal="center" vertical="center"/>
    </xf>
    <xf numFmtId="171" fontId="3" fillId="4" borderId="7" xfId="0" applyNumberFormat="1" applyFont="1" applyFill="1" applyBorder="1" applyAlignment="1">
      <alignment horizontal="center" vertical="center"/>
    </xf>
    <xf numFmtId="171" fontId="3" fillId="4" borderId="8" xfId="0" applyNumberFormat="1" applyFont="1" applyFill="1" applyBorder="1" applyAlignment="1">
      <alignment horizontal="center" vertical="center"/>
    </xf>
    <xf numFmtId="172" fontId="3" fillId="4" borderId="7" xfId="0" applyNumberFormat="1" applyFont="1" applyFill="1" applyBorder="1" applyAlignment="1">
      <alignment horizontal="center" vertical="center"/>
    </xf>
    <xf numFmtId="172" fontId="3" fillId="4" borderId="8" xfId="0" applyNumberFormat="1" applyFont="1" applyFill="1" applyBorder="1" applyAlignment="1">
      <alignment horizontal="center" vertical="center"/>
    </xf>
    <xf numFmtId="174" fontId="16" fillId="0" borderId="13" xfId="0" applyNumberFormat="1" applyFont="1" applyBorder="1" applyAlignment="1">
      <alignment horizontal="left" vertical="center"/>
    </xf>
    <xf numFmtId="174" fontId="16" fillId="0" borderId="0" xfId="0" applyNumberFormat="1" applyFont="1" applyAlignment="1">
      <alignment horizontal="left" vertical="center"/>
    </xf>
    <xf numFmtId="0" fontId="18" fillId="0" borderId="0" xfId="0" applyFont="1" applyAlignment="1">
      <alignment horizontal="center" vertical="center"/>
    </xf>
    <xf numFmtId="2"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5" borderId="1" xfId="0" applyFont="1" applyFill="1" applyBorder="1" applyAlignment="1">
      <alignment horizontal="center" vertical="center"/>
    </xf>
    <xf numFmtId="0" fontId="5" fillId="5" borderId="1" xfId="0" applyFont="1" applyFill="1" applyBorder="1" applyAlignment="1">
      <alignment horizontal="left" vertical="center"/>
    </xf>
    <xf numFmtId="178" fontId="3" fillId="0" borderId="1" xfId="0" applyNumberFormat="1" applyFont="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2" fontId="3" fillId="0" borderId="7" xfId="0" applyNumberFormat="1" applyFont="1" applyBorder="1" applyAlignment="1">
      <alignment horizontal="center" vertical="center"/>
    </xf>
    <xf numFmtId="2" fontId="3" fillId="0" borderId="8" xfId="0" applyNumberFormat="1" applyFont="1" applyBorder="1" applyAlignment="1">
      <alignment horizontal="center" vertical="center"/>
    </xf>
    <xf numFmtId="0" fontId="5" fillId="5" borderId="7" xfId="0" applyFont="1" applyFill="1" applyBorder="1" applyAlignment="1">
      <alignment horizontal="left" vertical="center"/>
    </xf>
    <xf numFmtId="0" fontId="5" fillId="5" borderId="10" xfId="0" applyFont="1" applyFill="1" applyBorder="1" applyAlignment="1">
      <alignment horizontal="left" vertical="center"/>
    </xf>
    <xf numFmtId="0" fontId="5" fillId="5" borderId="8" xfId="0" applyFont="1" applyFill="1" applyBorder="1" applyAlignment="1">
      <alignment horizontal="left" vertical="center"/>
    </xf>
    <xf numFmtId="178" fontId="3" fillId="0" borderId="7" xfId="0" applyNumberFormat="1" applyFont="1" applyBorder="1" applyAlignment="1">
      <alignment horizontal="center" vertical="center"/>
    </xf>
    <xf numFmtId="178" fontId="3" fillId="0" borderId="8" xfId="0" applyNumberFormat="1" applyFont="1" applyBorder="1" applyAlignment="1">
      <alignment horizontal="center" vertical="center"/>
    </xf>
    <xf numFmtId="0" fontId="5" fillId="5" borderId="25" xfId="0" applyFont="1" applyFill="1" applyBorder="1" applyAlignment="1">
      <alignment horizontal="left" vertical="center"/>
    </xf>
    <xf numFmtId="0" fontId="5" fillId="5" borderId="26" xfId="0" applyFont="1" applyFill="1" applyBorder="1" applyAlignment="1">
      <alignment horizontal="left" vertical="center"/>
    </xf>
    <xf numFmtId="0" fontId="5" fillId="5" borderId="27" xfId="0" applyFont="1" applyFill="1" applyBorder="1" applyAlignment="1">
      <alignment horizontal="left" vertical="center"/>
    </xf>
    <xf numFmtId="178" fontId="17" fillId="0" borderId="25" xfId="0" applyNumberFormat="1" applyFont="1" applyBorder="1" applyAlignment="1">
      <alignment horizontal="center" vertical="center"/>
    </xf>
    <xf numFmtId="178" fontId="17" fillId="0" borderId="28" xfId="0" applyNumberFormat="1" applyFont="1" applyBorder="1" applyAlignment="1">
      <alignment horizontal="center" vertical="center"/>
    </xf>
    <xf numFmtId="178" fontId="17" fillId="0" borderId="7" xfId="0" applyNumberFormat="1" applyFont="1" applyBorder="1" applyAlignment="1">
      <alignment horizontal="center" vertical="center"/>
    </xf>
    <xf numFmtId="178" fontId="17" fillId="0" borderId="29" xfId="0" applyNumberFormat="1" applyFont="1" applyBorder="1" applyAlignment="1">
      <alignment horizontal="center" vertical="center"/>
    </xf>
    <xf numFmtId="0" fontId="5" fillId="5" borderId="30" xfId="0" applyFont="1" applyFill="1" applyBorder="1" applyAlignment="1">
      <alignment horizontal="left" vertical="center"/>
    </xf>
    <xf numFmtId="0" fontId="5" fillId="5" borderId="31" xfId="0" applyFont="1" applyFill="1" applyBorder="1" applyAlignment="1">
      <alignment horizontal="left" vertical="center"/>
    </xf>
    <xf numFmtId="0" fontId="5" fillId="5" borderId="32" xfId="0" applyFont="1" applyFill="1" applyBorder="1" applyAlignment="1">
      <alignment horizontal="left" vertical="center"/>
    </xf>
    <xf numFmtId="178" fontId="17" fillId="0" borderId="30" xfId="0" applyNumberFormat="1" applyFont="1" applyBorder="1" applyAlignment="1">
      <alignment horizontal="center" vertical="center"/>
    </xf>
    <xf numFmtId="178" fontId="17" fillId="0" borderId="33"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xf>
    <xf numFmtId="0" fontId="3" fillId="5" borderId="6"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180" fontId="3" fillId="0" borderId="9" xfId="0" applyNumberFormat="1" applyFont="1" applyBorder="1" applyAlignment="1">
      <alignment horizontal="center" vertical="center" wrapText="1"/>
    </xf>
    <xf numFmtId="180" fontId="3" fillId="0" borderId="6" xfId="0" applyNumberFormat="1"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21"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1" xfId="0" applyFont="1" applyBorder="1" applyAlignment="1">
      <alignment horizontal="center" vertical="center" wrapText="1"/>
    </xf>
    <xf numFmtId="180" fontId="3" fillId="0" borderId="2" xfId="0" applyNumberFormat="1" applyFont="1" applyBorder="1" applyAlignment="1">
      <alignment horizontal="center" vertical="center" wrapText="1"/>
    </xf>
    <xf numFmtId="180" fontId="3" fillId="0" borderId="3" xfId="0" applyNumberFormat="1" applyFont="1" applyBorder="1" applyAlignment="1">
      <alignment horizontal="center" vertical="center" wrapText="1"/>
    </xf>
    <xf numFmtId="180" fontId="3" fillId="0" borderId="4" xfId="0" applyNumberFormat="1" applyFont="1" applyBorder="1" applyAlignment="1">
      <alignment horizontal="center" vertical="center" wrapText="1"/>
    </xf>
    <xf numFmtId="180" fontId="3" fillId="0" borderId="5" xfId="0" applyNumberFormat="1" applyFont="1" applyBorder="1" applyAlignment="1">
      <alignment horizontal="center" vertical="center" wrapText="1"/>
    </xf>
    <xf numFmtId="0" fontId="13" fillId="0" borderId="0" xfId="0" applyFont="1" applyAlignment="1">
      <alignment horizontal="center" vertical="center"/>
    </xf>
    <xf numFmtId="0" fontId="13" fillId="0" borderId="15" xfId="0" applyFont="1" applyBorder="1" applyAlignment="1">
      <alignment horizontal="center" vertical="center"/>
    </xf>
    <xf numFmtId="0" fontId="3" fillId="5" borderId="12" xfId="0" applyFont="1" applyFill="1" applyBorder="1" applyAlignment="1">
      <alignment horizontal="center" vertical="center" wrapText="1"/>
    </xf>
    <xf numFmtId="0" fontId="3" fillId="5" borderId="14" xfId="0" applyFont="1" applyFill="1" applyBorder="1" applyAlignment="1">
      <alignment horizontal="center" vertical="center" wrapText="1"/>
    </xf>
    <xf numFmtId="180" fontId="3" fillId="0" borderId="12" xfId="0" applyNumberFormat="1" applyFont="1" applyBorder="1" applyAlignment="1">
      <alignment horizontal="center" vertical="center" wrapText="1"/>
    </xf>
    <xf numFmtId="180" fontId="3" fillId="0" borderId="14"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0" xfId="0" applyFont="1" applyAlignment="1">
      <alignment horizontal="justify" vertical="top" wrapText="1"/>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0" fillId="0" borderId="1" xfId="0" applyBorder="1" applyAlignment="1">
      <alignment horizontal="center" vertical="center" wrapText="1"/>
    </xf>
    <xf numFmtId="1" fontId="3" fillId="0" borderId="1" xfId="0" applyNumberFormat="1" applyFont="1" applyBorder="1" applyAlignment="1">
      <alignment horizontal="center" vertic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center" vertical="center"/>
    </xf>
    <xf numFmtId="0" fontId="4" fillId="0" borderId="7" xfId="0" applyFont="1" applyBorder="1" applyAlignment="1">
      <alignment horizontal="left"/>
    </xf>
    <xf numFmtId="0" fontId="4" fillId="0" borderId="8" xfId="0" applyFont="1" applyBorder="1" applyAlignment="1">
      <alignment horizontal="left"/>
    </xf>
    <xf numFmtId="0" fontId="3" fillId="0" borderId="1" xfId="0" applyFont="1" applyBorder="1" applyAlignment="1">
      <alignment horizontal="left"/>
    </xf>
    <xf numFmtId="0" fontId="9" fillId="0" borderId="1" xfId="0" applyFont="1" applyBorder="1" applyAlignment="1">
      <alignment vertical="top" wrapText="1"/>
    </xf>
    <xf numFmtId="0" fontId="5" fillId="0" borderId="1" xfId="0" applyFont="1" applyBorder="1" applyAlignment="1">
      <alignment vertical="top" wrapText="1"/>
    </xf>
    <xf numFmtId="0" fontId="0" fillId="0" borderId="6" xfId="0" applyBorder="1" applyAlignment="1">
      <alignment horizontal="center" vertical="center"/>
    </xf>
    <xf numFmtId="0" fontId="0" fillId="0" borderId="1" xfId="0"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167" fontId="3" fillId="0" borderId="1" xfId="0" applyNumberFormat="1" applyFont="1" applyBorder="1" applyAlignment="1">
      <alignment horizontal="center"/>
    </xf>
    <xf numFmtId="2" fontId="3" fillId="0" borderId="1" xfId="0" applyNumberFormat="1" applyFont="1" applyBorder="1" applyAlignment="1">
      <alignment horizontal="center"/>
    </xf>
    <xf numFmtId="168" fontId="0" fillId="0" borderId="1" xfId="0" applyNumberFormat="1" applyBorder="1" applyAlignment="1">
      <alignment horizontal="center"/>
    </xf>
    <xf numFmtId="0" fontId="2" fillId="0" borderId="7" xfId="0" applyFont="1" applyBorder="1" applyAlignment="1">
      <alignment horizontal="center"/>
    </xf>
    <xf numFmtId="0" fontId="2" fillId="0" borderId="10" xfId="0" applyFont="1" applyBorder="1" applyAlignment="1">
      <alignment horizontal="center"/>
    </xf>
    <xf numFmtId="0" fontId="2" fillId="0" borderId="8"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8" xfId="0" applyFont="1" applyBorder="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12" xfId="0" applyFont="1" applyBorder="1" applyAlignment="1">
      <alignment horizontal="justify" vertical="top" wrapText="1"/>
    </xf>
    <xf numFmtId="0" fontId="4" fillId="0" borderId="3" xfId="0" applyFont="1" applyBorder="1" applyAlignment="1">
      <alignment horizontal="justify" vertical="top" wrapText="1"/>
    </xf>
    <xf numFmtId="0" fontId="4" fillId="0" borderId="13" xfId="0" applyFont="1" applyBorder="1" applyAlignment="1">
      <alignment horizontal="justify" vertical="top" wrapText="1"/>
    </xf>
    <xf numFmtId="0" fontId="4" fillId="0" borderId="0" xfId="0" applyFont="1" applyAlignment="1">
      <alignment horizontal="justify" vertical="top" wrapText="1"/>
    </xf>
    <xf numFmtId="0" fontId="4" fillId="0" borderId="15" xfId="0" applyFont="1" applyBorder="1" applyAlignment="1">
      <alignment horizontal="justify" vertical="top" wrapText="1"/>
    </xf>
    <xf numFmtId="0" fontId="4" fillId="0" borderId="4" xfId="0" applyFont="1" applyBorder="1" applyAlignment="1">
      <alignment horizontal="justify" vertical="top" wrapText="1"/>
    </xf>
    <xf numFmtId="0" fontId="4" fillId="0" borderId="14" xfId="0" applyFont="1" applyBorder="1" applyAlignment="1">
      <alignment horizontal="justify" vertical="top" wrapText="1"/>
    </xf>
    <xf numFmtId="0" fontId="4" fillId="0" borderId="5" xfId="0" applyFont="1" applyBorder="1" applyAlignment="1">
      <alignment horizontal="justify" vertical="top" wrapText="1"/>
    </xf>
  </cellXfs>
  <cellStyles count="2">
    <cellStyle name="Comma" xfId="1" builtinId="3"/>
    <cellStyle name="Normal" xfId="0" builtinId="0"/>
  </cellStyles>
  <dxfs count="12">
    <dxf>
      <font>
        <b/>
        <i val="0"/>
      </font>
    </dxf>
    <dxf>
      <font>
        <b/>
        <i val="0"/>
      </font>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a:p>
        </c:rich>
      </c:tx>
      <c:overlay val="0"/>
      <c:spPr>
        <a:noFill/>
        <a:ln>
          <a:noFill/>
        </a:ln>
        <a:effectLst/>
      </c:spPr>
    </c:title>
    <c:autoTitleDeleted val="0"/>
    <c:plotArea>
      <c:layout/>
      <c:scatterChart>
        <c:scatterStyle val="lineMarker"/>
        <c:varyColors val="0"/>
        <c:ser>
          <c:idx val="2"/>
          <c:order val="0"/>
          <c:tx>
            <c:strRef>
              <c:f>'Tableaux - méthode pressio'!$P$24</c:f>
              <c:strCache>
                <c:ptCount val="1"/>
                <c:pt idx="0">
                  <c:v>Q1</c:v>
                </c:pt>
              </c:strCache>
            </c:strRef>
          </c:tx>
          <c:spPr>
            <a:ln w="19050" cap="rnd" cmpd="sng" algn="ctr">
              <a:solidFill>
                <a:schemeClr val="accent3"/>
              </a:solidFill>
              <a:prstDash val="solid"/>
              <a:round/>
            </a:ln>
            <a:effectLst/>
          </c:spPr>
          <c:marker>
            <c:symbol val="none"/>
          </c:marker>
          <c:xVal>
            <c:numRef>
              <c:f>'Tableaux - méthode pressio'!$O$26:$O$40</c:f>
              <c:numCache>
                <c:formatCode>General</c:formatCode>
                <c:ptCount val="1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numCache>
            </c:numRef>
          </c:xVal>
          <c:yVal>
            <c:numRef>
              <c:f>'Tableaux - méthode pressio'!$P$26:$P$40</c:f>
              <c:numCache>
                <c:formatCode>0.00</c:formatCode>
                <c:ptCount val="15"/>
                <c:pt idx="0">
                  <c:v>0</c:v>
                </c:pt>
                <c:pt idx="1">
                  <c:v>34.288381346806503</c:v>
                </c:pt>
                <c:pt idx="2">
                  <c:v>41.701512512840303</c:v>
                </c:pt>
                <c:pt idx="3">
                  <c:v>44.266485431236397</c:v>
                </c:pt>
                <c:pt idx="4">
                  <c:v>45.958053429584503</c:v>
                </c:pt>
                <c:pt idx="5">
                  <c:v>47.492473087057</c:v>
                </c:pt>
                <c:pt idx="6">
                  <c:v>48.998650713981903</c:v>
                </c:pt>
                <c:pt idx="7">
                  <c:v>50.4997583515717</c:v>
                </c:pt>
                <c:pt idx="8">
                  <c:v>51.999956760506599</c:v>
                </c:pt>
                <c:pt idx="9">
                  <c:v>53.499992269355701</c:v>
                </c:pt>
                <c:pt idx="10">
                  <c:v>54.999998618950499</c:v>
                </c:pt>
                <c:pt idx="11">
                  <c:v>56.499999753464401</c:v>
                </c:pt>
                <c:pt idx="12">
                  <c:v>57.999999956021099</c:v>
                </c:pt>
                <c:pt idx="13">
                  <c:v>59.499999992159999</c:v>
                </c:pt>
                <c:pt idx="14">
                  <c:v>60.9999999986033</c:v>
                </c:pt>
              </c:numCache>
            </c:numRef>
          </c:yVal>
          <c:smooth val="1"/>
          <c:extLst>
            <c:ext xmlns:c16="http://schemas.microsoft.com/office/drawing/2014/chart" uri="{C3380CC4-5D6E-409C-BE32-E72D297353CC}">
              <c16:uniqueId val="{00000000-96B3-4A74-BC33-A4633C211EBA}"/>
            </c:ext>
          </c:extLst>
        </c:ser>
        <c:ser>
          <c:idx val="0"/>
          <c:order val="1"/>
          <c:tx>
            <c:strRef>
              <c:f>'Tableaux - méthode pressio'!$Q$24</c:f>
              <c:strCache>
                <c:ptCount val="1"/>
                <c:pt idx="0">
                  <c:v>Q2</c:v>
                </c:pt>
              </c:strCache>
            </c:strRef>
          </c:tx>
          <c:spPr>
            <a:ln w="19050" cap="rnd" cmpd="sng" algn="ctr">
              <a:solidFill>
                <a:schemeClr val="accent1"/>
              </a:solidFill>
              <a:prstDash val="solid"/>
              <a:round/>
            </a:ln>
            <a:effectLst/>
          </c:spPr>
          <c:marker>
            <c:symbol val="none"/>
          </c:marker>
          <c:xVal>
            <c:numRef>
              <c:f>'Tableaux - méthode pressio'!$O$26:$O$40</c:f>
              <c:numCache>
                <c:formatCode>General</c:formatCode>
                <c:ptCount val="1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numCache>
            </c:numRef>
          </c:xVal>
          <c:yVal>
            <c:numRef>
              <c:f>'Tableaux - méthode pressio'!$Q$26:$Q$40</c:f>
              <c:numCache>
                <c:formatCode>0.00</c:formatCode>
                <c:ptCount val="15"/>
                <c:pt idx="0">
                  <c:v>0</c:v>
                </c:pt>
                <c:pt idx="1">
                  <c:v>29.327243653888299</c:v>
                </c:pt>
                <c:pt idx="2">
                  <c:v>48.9164051661458</c:v>
                </c:pt>
                <c:pt idx="3">
                  <c:v>62.602583383381003</c:v>
                </c:pt>
                <c:pt idx="4">
                  <c:v>72.742563736847003</c:v>
                </c:pt>
                <c:pt idx="5">
                  <c:v>80.768099188731597</c:v>
                </c:pt>
                <c:pt idx="6">
                  <c:v>87.540864979743702</c:v>
                </c:pt>
                <c:pt idx="7">
                  <c:v>93.575420202054602</c:v>
                </c:pt>
                <c:pt idx="8">
                  <c:v>99.177025295098005</c:v>
                </c:pt>
                <c:pt idx="9">
                  <c:v>104.525759001026</c:v>
                </c:pt>
                <c:pt idx="10">
                  <c:v>109.727337260567</c:v>
                </c:pt>
                <c:pt idx="11">
                  <c:v>114.84355767568201</c:v>
                </c:pt>
                <c:pt idx="12">
                  <c:v>119.910409702995</c:v>
                </c:pt>
                <c:pt idx="13">
                  <c:v>124.948783127628</c:v>
                </c:pt>
                <c:pt idx="14">
                  <c:v>129.970767247857</c:v>
                </c:pt>
              </c:numCache>
            </c:numRef>
          </c:yVal>
          <c:smooth val="1"/>
          <c:extLst>
            <c:ext xmlns:c16="http://schemas.microsoft.com/office/drawing/2014/chart" uri="{C3380CC4-5D6E-409C-BE32-E72D297353CC}">
              <c16:uniqueId val="{00000001-96B3-4A74-BC33-A4633C211EBA}"/>
            </c:ext>
          </c:extLst>
        </c:ser>
        <c:ser>
          <c:idx val="1"/>
          <c:order val="2"/>
          <c:tx>
            <c:strRef>
              <c:f>'Tableaux - méthode pressio'!$R$24</c:f>
              <c:strCache>
                <c:ptCount val="1"/>
                <c:pt idx="0">
                  <c:v>Q3</c:v>
                </c:pt>
              </c:strCache>
            </c:strRef>
          </c:tx>
          <c:spPr>
            <a:ln w="19050" cap="rnd" cmpd="sng" algn="ctr">
              <a:solidFill>
                <a:schemeClr val="accent2"/>
              </a:solidFill>
              <a:prstDash val="solid"/>
              <a:round/>
            </a:ln>
            <a:effectLst/>
          </c:spPr>
          <c:marker>
            <c:symbol val="none"/>
          </c:marker>
          <c:xVal>
            <c:numRef>
              <c:f>'Tableaux - méthode pressio'!$O$26:$O$40</c:f>
              <c:numCache>
                <c:formatCode>General</c:formatCode>
                <c:ptCount val="1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numCache>
            </c:numRef>
          </c:xVal>
          <c:yVal>
            <c:numRef>
              <c:f>'Tableaux - méthode pressio'!$R$26:$R$40</c:f>
              <c:numCache>
                <c:formatCode>0.00</c:formatCode>
                <c:ptCount val="15"/>
                <c:pt idx="0">
                  <c:v>0</c:v>
                </c:pt>
                <c:pt idx="1">
                  <c:v>35.129635408065297</c:v>
                </c:pt>
                <c:pt idx="2">
                  <c:v>56.015051936380999</c:v>
                </c:pt>
                <c:pt idx="3">
                  <c:v>69.046937237285704</c:v>
                </c:pt>
                <c:pt idx="4">
                  <c:v>77.761019429995997</c:v>
                </c:pt>
                <c:pt idx="5">
                  <c:v>84.107256814724295</c:v>
                </c:pt>
                <c:pt idx="6">
                  <c:v>89.157986058431803</c:v>
                </c:pt>
                <c:pt idx="7">
                  <c:v>93.501399185725901</c:v>
                </c:pt>
                <c:pt idx="8">
                  <c:v>97.459376686765495</c:v>
                </c:pt>
                <c:pt idx="9">
                  <c:v>101.207690235454</c:v>
                </c:pt>
                <c:pt idx="10">
                  <c:v>104.842138884737</c:v>
                </c:pt>
                <c:pt idx="11">
                  <c:v>108.414842247178</c:v>
                </c:pt>
                <c:pt idx="12">
                  <c:v>111.954109682354</c:v>
                </c:pt>
                <c:pt idx="13">
                  <c:v>115.47529450202499</c:v>
                </c:pt>
                <c:pt idx="14">
                  <c:v>118.98671176879</c:v>
                </c:pt>
              </c:numCache>
            </c:numRef>
          </c:yVal>
          <c:smooth val="1"/>
          <c:extLst>
            <c:ext xmlns:c16="http://schemas.microsoft.com/office/drawing/2014/chart" uri="{C3380CC4-5D6E-409C-BE32-E72D297353CC}">
              <c16:uniqueId val="{00000002-96B3-4A74-BC33-A4633C211EBA}"/>
            </c:ext>
          </c:extLst>
        </c:ser>
        <c:ser>
          <c:idx val="3"/>
          <c:order val="3"/>
          <c:tx>
            <c:strRef>
              <c:f>'Tableaux - méthode pressio'!$S$24</c:f>
              <c:strCache>
                <c:ptCount val="1"/>
                <c:pt idx="0">
                  <c:v>Q4</c:v>
                </c:pt>
              </c:strCache>
            </c:strRef>
          </c:tx>
          <c:spPr>
            <a:ln w="19050" cap="rnd" cmpd="sng" algn="ctr">
              <a:solidFill>
                <a:schemeClr val="accent4"/>
              </a:solidFill>
              <a:prstDash val="solid"/>
              <a:round/>
            </a:ln>
            <a:effectLst/>
          </c:spPr>
          <c:marker>
            <c:symbol val="none"/>
          </c:marker>
          <c:xVal>
            <c:numRef>
              <c:f>'Tableaux - méthode pressio'!$O$26:$O$40</c:f>
              <c:numCache>
                <c:formatCode>General</c:formatCode>
                <c:ptCount val="1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numCache>
            </c:numRef>
          </c:xVal>
          <c:yVal>
            <c:numRef>
              <c:f>'Tableaux - méthode pressio'!$S$26:$S$40</c:f>
              <c:numCache>
                <c:formatCode>0.00</c:formatCode>
                <c:ptCount val="15"/>
                <c:pt idx="0">
                  <c:v>0</c:v>
                </c:pt>
                <c:pt idx="1">
                  <c:v>65.257066547531906</c:v>
                </c:pt>
                <c:pt idx="2">
                  <c:v>83.618737983627994</c:v>
                </c:pt>
                <c:pt idx="3">
                  <c:v>90.977972318481704</c:v>
                </c:pt>
                <c:pt idx="4">
                  <c:v>95.762039791039996</c:v>
                </c:pt>
                <c:pt idx="5">
                  <c:v>99.944691562985199</c:v>
                </c:pt>
                <c:pt idx="6">
                  <c:v>103.987165380375</c:v>
                </c:pt>
                <c:pt idx="7">
                  <c:v>107.99702606347</c:v>
                </c:pt>
                <c:pt idx="8">
                  <c:v>111.999311848216</c:v>
                </c:pt>
                <c:pt idx="9">
                  <c:v>115.999840968746</c:v>
                </c:pt>
                <c:pt idx="10">
                  <c:v>119.999963291722</c:v>
                </c:pt>
                <c:pt idx="11">
                  <c:v>123.999991536252</c:v>
                </c:pt>
                <c:pt idx="12">
                  <c:v>127.99999805056299</c:v>
                </c:pt>
                <c:pt idx="13">
                  <c:v>131.999999551429</c:v>
                </c:pt>
                <c:pt idx="14">
                  <c:v>135.999999896877</c:v>
                </c:pt>
              </c:numCache>
            </c:numRef>
          </c:yVal>
          <c:smooth val="1"/>
          <c:extLst>
            <c:ext xmlns:c16="http://schemas.microsoft.com/office/drawing/2014/chart" uri="{C3380CC4-5D6E-409C-BE32-E72D297353CC}">
              <c16:uniqueId val="{00000003-96B3-4A74-BC33-A4633C211EBA}"/>
            </c:ext>
          </c:extLst>
        </c:ser>
        <c:ser>
          <c:idx val="4"/>
          <c:order val="4"/>
          <c:tx>
            <c:strRef>
              <c:f>'Tableaux - méthode pressio'!$T$24</c:f>
              <c:strCache>
                <c:ptCount val="1"/>
                <c:pt idx="0">
                  <c:v>Q5</c:v>
                </c:pt>
              </c:strCache>
            </c:strRef>
          </c:tx>
          <c:spPr>
            <a:ln w="19050" cap="rnd" cmpd="sng" algn="ctr">
              <a:solidFill>
                <a:schemeClr val="accent5"/>
              </a:solidFill>
              <a:prstDash val="solid"/>
              <a:round/>
            </a:ln>
            <a:effectLst/>
          </c:spPr>
          <c:marker>
            <c:symbol val="none"/>
          </c:marker>
          <c:xVal>
            <c:numRef>
              <c:f>'Tableaux - méthode pressio'!$O$26:$O$40</c:f>
              <c:numCache>
                <c:formatCode>General</c:formatCode>
                <c:ptCount val="1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numCache>
            </c:numRef>
          </c:xVal>
          <c:yVal>
            <c:numRef>
              <c:f>'Tableaux - méthode pressio'!$T$26:$T$40</c:f>
              <c:numCache>
                <c:formatCode>0.00</c:formatCode>
                <c:ptCount val="15"/>
                <c:pt idx="0">
                  <c:v>0</c:v>
                </c:pt>
                <c:pt idx="1">
                  <c:v>66.033936387383505</c:v>
                </c:pt>
                <c:pt idx="2">
                  <c:v>85.519163846892198</c:v>
                </c:pt>
                <c:pt idx="3">
                  <c:v>93.944645328866997</c:v>
                </c:pt>
                <c:pt idx="4">
                  <c:v>99.752124782333397</c:v>
                </c:pt>
                <c:pt idx="5">
                  <c:v>104.941926141135</c:v>
                </c:pt>
                <c:pt idx="6">
                  <c:v>109.98642492155</c:v>
                </c:pt>
                <c:pt idx="7">
                  <c:v>114.99683330832499</c:v>
                </c:pt>
                <c:pt idx="8">
                  <c:v>119.99926269451799</c:v>
                </c:pt>
                <c:pt idx="9">
                  <c:v>124.999828630114</c:v>
                </c:pt>
                <c:pt idx="10">
                  <c:v>129.99996023269799</c:v>
                </c:pt>
                <c:pt idx="11">
                  <c:v>134.99999078543499</c:v>
                </c:pt>
                <c:pt idx="12">
                  <c:v>139.99999786780299</c:v>
                </c:pt>
                <c:pt idx="13">
                  <c:v>144.999999507251</c:v>
                </c:pt>
                <c:pt idx="14">
                  <c:v>149.999999886262</c:v>
                </c:pt>
              </c:numCache>
            </c:numRef>
          </c:yVal>
          <c:smooth val="1"/>
          <c:extLst>
            <c:ext xmlns:c16="http://schemas.microsoft.com/office/drawing/2014/chart" uri="{C3380CC4-5D6E-409C-BE32-E72D297353CC}">
              <c16:uniqueId val="{00000004-96B3-4A74-BC33-A4633C211EBA}"/>
            </c:ext>
          </c:extLst>
        </c:ser>
        <c:dLbls>
          <c:showLegendKey val="0"/>
          <c:showVal val="0"/>
          <c:showCatName val="0"/>
          <c:showSerName val="0"/>
          <c:showPercent val="0"/>
          <c:showBubbleSize val="0"/>
        </c:dLbls>
        <c:axId val="307801336"/>
        <c:axId val="307801664"/>
      </c:scatterChart>
      <c:valAx>
        <c:axId val="307801336"/>
        <c:scaling>
          <c:orientation val="minMax"/>
          <c:max val="7"/>
        </c:scaling>
        <c:delete val="0"/>
        <c:axPos val="b"/>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a:t>pl* [MPa]</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r-FR"/>
          </a:p>
        </c:txPr>
        <c:crossAx val="307801664"/>
        <c:crosses val="autoZero"/>
        <c:crossBetween val="midCat"/>
      </c:valAx>
      <c:valAx>
        <c:axId val="307801664"/>
        <c:scaling>
          <c:orientation val="minMax"/>
          <c:max val="16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a:t>f</a:t>
                </a:r>
                <a:r>
                  <a:rPr lang="en-US" baseline="-25000"/>
                  <a:t>sol</a:t>
                </a:r>
                <a:r>
                  <a:rPr lang="en-US"/>
                  <a:t> [kPa]</a:t>
                </a:r>
              </a:p>
            </c:rich>
          </c:tx>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r-FR"/>
          </a:p>
        </c:txPr>
        <c:crossAx val="3078013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uri="{0b15fc19-7d7d-44ad-8c2d-2c3a37ce22c3}">
        <chartProps xmlns="https://web.wps.cn/et/2018/main" chartId="{5806c184-3e65-4b36-acbc-81db760cea2d}"/>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a:p>
        </c:rich>
      </c:tx>
      <c:overlay val="0"/>
      <c:spPr>
        <a:noFill/>
        <a:ln>
          <a:noFill/>
        </a:ln>
        <a:effectLst/>
      </c:spPr>
    </c:title>
    <c:autoTitleDeleted val="0"/>
    <c:plotArea>
      <c:layout/>
      <c:scatterChart>
        <c:scatterStyle val="lineMarker"/>
        <c:varyColors val="0"/>
        <c:ser>
          <c:idx val="2"/>
          <c:order val="0"/>
          <c:tx>
            <c:strRef>
              <c:f>'Tableaux - méthode pénétro'!$R$24</c:f>
              <c:strCache>
                <c:ptCount val="1"/>
                <c:pt idx="0">
                  <c:v>Q1</c:v>
                </c:pt>
              </c:strCache>
            </c:strRef>
          </c:tx>
          <c:spPr>
            <a:ln w="19050" cap="rnd" cmpd="sng" algn="ctr">
              <a:solidFill>
                <a:schemeClr val="accent3"/>
              </a:solidFill>
              <a:prstDash val="solid"/>
              <a:round/>
            </a:ln>
            <a:effectLst/>
          </c:spPr>
          <c:marker>
            <c:symbol val="none"/>
          </c:marker>
          <c:xVal>
            <c:numRef>
              <c:f>'Tableaux - méthode pénétro'!$Q$26:$Q$66</c:f>
              <c:numCache>
                <c:formatCode>General</c:formatCode>
                <c:ptCount val="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numCache>
            </c:numRef>
          </c:xVal>
          <c:yVal>
            <c:numRef>
              <c:f>'Tableaux - méthode pénétro'!$R$26:$R$66</c:f>
              <c:numCache>
                <c:formatCode>0.00</c:formatCode>
                <c:ptCount val="41"/>
                <c:pt idx="0">
                  <c:v>0</c:v>
                </c:pt>
                <c:pt idx="1">
                  <c:v>18.2900670144316</c:v>
                </c:pt>
                <c:pt idx="2">
                  <c:v>33.561419313571903</c:v>
                </c:pt>
                <c:pt idx="3">
                  <c:v>46.337044973143499</c:v>
                </c:pt>
                <c:pt idx="4">
                  <c:v>57.049519317455903</c:v>
                </c:pt>
                <c:pt idx="5">
                  <c:v>66.056598397584295</c:v>
                </c:pt>
                <c:pt idx="6">
                  <c:v>73.654130064453895</c:v>
                </c:pt>
                <c:pt idx="7">
                  <c:v>80.086742733007199</c:v>
                </c:pt>
                <c:pt idx="8">
                  <c:v>85.5566932709729</c:v>
                </c:pt>
                <c:pt idx="9">
                  <c:v>90.231190183246497</c:v>
                </c:pt>
                <c:pt idx="10">
                  <c:v>94.2484541272092</c:v>
                </c:pt>
                <c:pt idx="11">
                  <c:v>97.722732895979505</c:v>
                </c:pt>
                <c:pt idx="12">
                  <c:v>100.748450775533</c:v>
                </c:pt>
                <c:pt idx="13">
                  <c:v>103.403641313459</c:v>
                </c:pt>
                <c:pt idx="14">
                  <c:v>105.7527869484</c:v>
                </c:pt>
                <c:pt idx="15">
                  <c:v>107.849167740247</c:v>
                </c:pt>
                <c:pt idx="16">
                  <c:v>109.736803864875</c:v>
                </c:pt>
                <c:pt idx="17">
                  <c:v>111.452061973574</c:v>
                </c:pt>
                <c:pt idx="18">
                  <c:v>113.024983451625</c:v>
                </c:pt>
                <c:pt idx="19">
                  <c:v>114.48038261564299</c:v>
                </c:pt>
                <c:pt idx="20">
                  <c:v>115.838754611129</c:v>
                </c:pt>
                <c:pt idx="21">
                  <c:v>117.11702591604499</c:v>
                </c:pt>
                <c:pt idx="22">
                  <c:v>118.329174679612</c:v>
                </c:pt>
                <c:pt idx="23">
                  <c:v>119.486743425623</c:v>
                </c:pt>
                <c:pt idx="24">
                  <c:v>120.599262758839</c:v>
                </c:pt>
                <c:pt idx="25">
                  <c:v>121.674601492612</c:v>
                </c:pt>
                <c:pt idx="26">
                  <c:v>122.719255950478</c:v>
                </c:pt>
                <c:pt idx="27">
                  <c:v>123.738588988833</c:v>
                </c:pt>
                <c:pt idx="28">
                  <c:v>124.73702746269601</c:v>
                </c:pt>
                <c:pt idx="29">
                  <c:v>125.71822534660799</c:v>
                </c:pt>
                <c:pt idx="30">
                  <c:v>126.68519847356301</c:v>
                </c:pt>
                <c:pt idx="31">
                  <c:v>127.640435821618</c:v>
                </c:pt>
                <c:pt idx="32">
                  <c:v>128.58599142321501</c:v>
                </c:pt>
                <c:pt idx="33">
                  <c:v>129.52356026552999</c:v>
                </c:pt>
                <c:pt idx="34">
                  <c:v>130.454540965691</c:v>
                </c:pt>
                <c:pt idx="35">
                  <c:v>131.38008752152999</c:v>
                </c:pt>
                <c:pt idx="36">
                  <c:v>132.301152038971</c:v>
                </c:pt>
                <c:pt idx="37">
                  <c:v>133.21852000694099</c:v>
                </c:pt>
                <c:pt idx="38">
                  <c:v>134.132839417632</c:v>
                </c:pt>
                <c:pt idx="39">
                  <c:v>135.04464480434001</c:v>
                </c:pt>
                <c:pt idx="40">
                  <c:v>135.95437708260499</c:v>
                </c:pt>
              </c:numCache>
            </c:numRef>
          </c:yVal>
          <c:smooth val="1"/>
          <c:extLst>
            <c:ext xmlns:c16="http://schemas.microsoft.com/office/drawing/2014/chart" uri="{C3380CC4-5D6E-409C-BE32-E72D297353CC}">
              <c16:uniqueId val="{00000000-3B7F-410B-A051-DFE562A14C7A}"/>
            </c:ext>
          </c:extLst>
        </c:ser>
        <c:ser>
          <c:idx val="0"/>
          <c:order val="1"/>
          <c:tx>
            <c:strRef>
              <c:f>'Tableaux - méthode pénétro'!$S$24</c:f>
              <c:strCache>
                <c:ptCount val="1"/>
                <c:pt idx="0">
                  <c:v>Q2</c:v>
                </c:pt>
              </c:strCache>
            </c:strRef>
          </c:tx>
          <c:spPr>
            <a:ln w="19050" cap="rnd" cmpd="sng" algn="ctr">
              <a:solidFill>
                <a:schemeClr val="accent1"/>
              </a:solidFill>
              <a:prstDash val="solid"/>
              <a:round/>
            </a:ln>
            <a:effectLst/>
          </c:spPr>
          <c:marker>
            <c:symbol val="none"/>
          </c:marker>
          <c:xVal>
            <c:numRef>
              <c:f>'Tableaux - méthode pénétro'!$Q$26:$Q$66</c:f>
              <c:numCache>
                <c:formatCode>General</c:formatCode>
                <c:ptCount val="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numCache>
            </c:numRef>
          </c:xVal>
          <c:yVal>
            <c:numRef>
              <c:f>'Tableaux - méthode pénétro'!$S$26:$S$66</c:f>
              <c:numCache>
                <c:formatCode>0.00</c:formatCode>
                <c:ptCount val="41"/>
                <c:pt idx="0">
                  <c:v>0</c:v>
                </c:pt>
                <c:pt idx="1">
                  <c:v>11.838437064601999</c:v>
                </c:pt>
                <c:pt idx="2">
                  <c:v>22.451720518252401</c:v>
                </c:pt>
                <c:pt idx="3">
                  <c:v>31.974671243623099</c:v>
                </c:pt>
                <c:pt idx="4">
                  <c:v>40.527342049598801</c:v>
                </c:pt>
                <c:pt idx="5">
                  <c:v>48.216626791154802</c:v>
                </c:pt>
                <c:pt idx="6">
                  <c:v>55.137695238564</c:v>
                </c:pt>
                <c:pt idx="7">
                  <c:v>61.375272428837</c:v>
                </c:pt>
                <c:pt idx="8">
                  <c:v>67.004779235827101</c:v>
                </c:pt>
                <c:pt idx="9">
                  <c:v>72.093349109496202</c:v>
                </c:pt>
                <c:pt idx="10">
                  <c:v>76.700734337529596</c:v>
                </c:pt>
                <c:pt idx="11">
                  <c:v>80.880113754136204</c:v>
                </c:pt>
                <c:pt idx="12">
                  <c:v>84.678812543821195</c:v>
                </c:pt>
                <c:pt idx="13">
                  <c:v>88.138943646339698</c:v>
                </c:pt>
                <c:pt idx="14">
                  <c:v>91.297979248725795</c:v>
                </c:pt>
                <c:pt idx="15">
                  <c:v>94.189259938501706</c:v>
                </c:pt>
                <c:pt idx="16">
                  <c:v>96.8424482774994</c:v>
                </c:pt>
                <c:pt idx="17">
                  <c:v>99.283932827927401</c:v>
                </c:pt>
                <c:pt idx="18">
                  <c:v>101.537188012228</c:v>
                </c:pt>
                <c:pt idx="19">
                  <c:v>103.62309460768201</c:v>
                </c:pt>
                <c:pt idx="20">
                  <c:v>105.560225158252</c:v>
                </c:pt>
                <c:pt idx="21">
                  <c:v>107.36509812328499</c:v>
                </c:pt>
                <c:pt idx="22">
                  <c:v>109.05240416941901</c:v>
                </c:pt>
                <c:pt idx="23">
                  <c:v>110.635207643182</c:v>
                </c:pt>
                <c:pt idx="24">
                  <c:v>112.125125932592</c:v>
                </c:pt>
                <c:pt idx="25">
                  <c:v>113.53248913221999</c:v>
                </c:pt>
                <c:pt idx="26">
                  <c:v>114.866482164109</c:v>
                </c:pt>
                <c:pt idx="27">
                  <c:v>116.135271273022</c:v>
                </c:pt>
                <c:pt idx="28">
                  <c:v>117.346116605899</c:v>
                </c:pt>
                <c:pt idx="29">
                  <c:v>118.50547239929899</c:v>
                </c:pt>
                <c:pt idx="30">
                  <c:v>119.61907613263899</c:v>
                </c:pt>
                <c:pt idx="31">
                  <c:v>120.692027857067</c:v>
                </c:pt>
                <c:pt idx="32">
                  <c:v>121.728860777797</c:v>
                </c:pt>
                <c:pt idx="33">
                  <c:v>122.733604050126</c:v>
                </c:pt>
                <c:pt idx="34">
                  <c:v>123.709838644421</c:v>
                </c:pt>
                <c:pt idx="35">
                  <c:v>124.660747041893</c:v>
                </c:pt>
                <c:pt idx="36">
                  <c:v>125.589157439643</c:v>
                </c:pt>
                <c:pt idx="37">
                  <c:v>126.497583069174</c:v>
                </c:pt>
                <c:pt idx="38">
                  <c:v>127.388257166399</c:v>
                </c:pt>
                <c:pt idx="39">
                  <c:v>128.26316407221199</c:v>
                </c:pt>
                <c:pt idx="40">
                  <c:v>129.124066890119</c:v>
                </c:pt>
              </c:numCache>
            </c:numRef>
          </c:yVal>
          <c:smooth val="1"/>
          <c:extLst>
            <c:ext xmlns:c16="http://schemas.microsoft.com/office/drawing/2014/chart" uri="{C3380CC4-5D6E-409C-BE32-E72D297353CC}">
              <c16:uniqueId val="{00000001-3B7F-410B-A051-DFE562A14C7A}"/>
            </c:ext>
          </c:extLst>
        </c:ser>
        <c:ser>
          <c:idx val="1"/>
          <c:order val="2"/>
          <c:tx>
            <c:strRef>
              <c:f>'Tableaux - méthode pénétro'!$T$24</c:f>
              <c:strCache>
                <c:ptCount val="1"/>
                <c:pt idx="0">
                  <c:v>Q3</c:v>
                </c:pt>
              </c:strCache>
            </c:strRef>
          </c:tx>
          <c:spPr>
            <a:ln w="19050" cap="rnd" cmpd="sng" algn="ctr">
              <a:solidFill>
                <a:schemeClr val="accent2"/>
              </a:solidFill>
              <a:prstDash val="solid"/>
              <a:round/>
            </a:ln>
            <a:effectLst/>
          </c:spPr>
          <c:marker>
            <c:symbol val="none"/>
          </c:marker>
          <c:xVal>
            <c:numRef>
              <c:f>'Tableaux - méthode pénétro'!$Q$26:$Q$66</c:f>
              <c:numCache>
                <c:formatCode>General</c:formatCode>
                <c:ptCount val="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numCache>
            </c:numRef>
          </c:xVal>
          <c:yVal>
            <c:numRef>
              <c:f>'Tableaux - méthode pénétro'!$T$26:$T$66</c:f>
              <c:numCache>
                <c:formatCode>0.00</c:formatCode>
                <c:ptCount val="41"/>
                <c:pt idx="0">
                  <c:v>0</c:v>
                </c:pt>
                <c:pt idx="1">
                  <c:v>7.2690052753475802</c:v>
                </c:pt>
                <c:pt idx="2">
                  <c:v>14.0963527857842</c:v>
                </c:pt>
                <c:pt idx="3">
                  <c:v>20.511048930295399</c:v>
                </c:pt>
                <c:pt idx="4">
                  <c:v>26.5402142021921</c:v>
                </c:pt>
                <c:pt idx="5">
                  <c:v>32.209204284529903</c:v>
                </c:pt>
                <c:pt idx="6">
                  <c:v>37.5417234919843</c:v>
                </c:pt>
                <c:pt idx="7">
                  <c:v>42.5599310329779</c:v>
                </c:pt>
                <c:pt idx="8">
                  <c:v>47.284540537345997</c:v>
                </c:pt>
                <c:pt idx="9">
                  <c:v>51.734913267964302</c:v>
                </c:pt>
                <c:pt idx="10">
                  <c:v>55.929145409452502</c:v>
                </c:pt>
                <c:pt idx="11">
                  <c:v>59.884149803236397</c:v>
                </c:pt>
                <c:pt idx="12">
                  <c:v>63.615732475807803</c:v>
                </c:pt>
                <c:pt idx="13">
                  <c:v>67.138664285891707</c:v>
                </c:pt>
                <c:pt idx="14">
                  <c:v>70.466747996350804</c:v>
                </c:pt>
                <c:pt idx="15">
                  <c:v>73.612881057939902</c:v>
                </c:pt>
                <c:pt idx="16">
                  <c:v>76.589114374422607</c:v>
                </c:pt>
                <c:pt idx="17">
                  <c:v>79.406707302000896</c:v>
                </c:pt>
                <c:pt idx="18">
                  <c:v>82.076179120435199</c:v>
                </c:pt>
                <c:pt idx="19">
                  <c:v>84.607357198590705</c:v>
                </c:pt>
                <c:pt idx="20">
                  <c:v>87.009422063375894</c:v>
                </c:pt>
                <c:pt idx="21">
                  <c:v>89.290949568102207</c:v>
                </c:pt>
                <c:pt idx="22">
                  <c:v>91.459950344130604</c:v>
                </c:pt>
                <c:pt idx="23">
                  <c:v>93.523906708244198</c:v>
                </c:pt>
                <c:pt idx="24">
                  <c:v>95.489807187450495</c:v>
                </c:pt>
                <c:pt idx="25">
                  <c:v>97.364178812833202</c:v>
                </c:pt>
                <c:pt idx="26">
                  <c:v>99.153117324598995</c:v>
                </c:pt>
                <c:pt idx="27">
                  <c:v>100.862315421574</c:v>
                </c:pt>
                <c:pt idx="28">
                  <c:v>102.497089180052</c:v>
                </c:pt>
                <c:pt idx="29">
                  <c:v>104.06240275905201</c:v>
                </c:pt>
                <c:pt idx="30">
                  <c:v>105.56289150169999</c:v>
                </c:pt>
                <c:pt idx="31">
                  <c:v>107.00288353550999</c:v>
                </c:pt>
                <c:pt idx="32">
                  <c:v>108.386419967902</c:v>
                </c:pt>
                <c:pt idx="33">
                  <c:v>109.71727376717401</c:v>
                </c:pt>
                <c:pt idx="34">
                  <c:v>110.998967413461</c:v>
                </c:pt>
                <c:pt idx="35">
                  <c:v>112.23478939885599</c:v>
                </c:pt>
                <c:pt idx="36">
                  <c:v>113.427809650846</c:v>
                </c:pt>
                <c:pt idx="37">
                  <c:v>114.580893948522</c:v>
                </c:pt>
                <c:pt idx="38">
                  <c:v>115.69671739656999</c:v>
                </c:pt>
                <c:pt idx="39">
                  <c:v>116.777777017969</c:v>
                </c:pt>
                <c:pt idx="40">
                  <c:v>117.82640352238499</c:v>
                </c:pt>
              </c:numCache>
            </c:numRef>
          </c:yVal>
          <c:smooth val="1"/>
          <c:extLst>
            <c:ext xmlns:c16="http://schemas.microsoft.com/office/drawing/2014/chart" uri="{C3380CC4-5D6E-409C-BE32-E72D297353CC}">
              <c16:uniqueId val="{00000002-3B7F-410B-A051-DFE562A14C7A}"/>
            </c:ext>
          </c:extLst>
        </c:ser>
        <c:dLbls>
          <c:showLegendKey val="0"/>
          <c:showVal val="0"/>
          <c:showCatName val="0"/>
          <c:showSerName val="0"/>
          <c:showPercent val="0"/>
          <c:showBubbleSize val="0"/>
        </c:dLbls>
        <c:axId val="307801336"/>
        <c:axId val="307801664"/>
      </c:scatterChart>
      <c:valAx>
        <c:axId val="307801336"/>
        <c:scaling>
          <c:orientation val="minMax"/>
          <c:max val="20"/>
        </c:scaling>
        <c:delete val="0"/>
        <c:axPos val="b"/>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a:t>q</a:t>
                </a:r>
                <a:r>
                  <a:rPr lang="en-US" baseline="-25000"/>
                  <a:t>c</a:t>
                </a:r>
                <a:r>
                  <a:rPr lang="en-US"/>
                  <a:t> [Mpa]</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r-FR"/>
          </a:p>
        </c:txPr>
        <c:crossAx val="307801664"/>
        <c:crosses val="autoZero"/>
        <c:crossBetween val="midCat"/>
      </c:valAx>
      <c:valAx>
        <c:axId val="307801664"/>
        <c:scaling>
          <c:orientation val="minMax"/>
          <c:max val="15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a:t>f</a:t>
                </a:r>
                <a:r>
                  <a:rPr lang="en-US" baseline="-25000"/>
                  <a:t>sol</a:t>
                </a:r>
                <a:r>
                  <a:rPr lang="en-US"/>
                  <a:t> [kPa]</a:t>
                </a:r>
              </a:p>
            </c:rich>
          </c:tx>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r-FR"/>
          </a:p>
        </c:txPr>
        <c:crossAx val="3078013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uri="{0b15fc19-7d7d-44ad-8c2d-2c3a37ce22c3}">
        <chartProps xmlns="https://web.wps.cn/et/2018/main" chartId="{6f0058eb-ffcb-46df-855f-67340515c9e3}"/>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1.xml"/><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20</xdr:col>
      <xdr:colOff>52187</xdr:colOff>
      <xdr:row>7</xdr:row>
      <xdr:rowOff>110342</xdr:rowOff>
    </xdr:from>
    <xdr:to>
      <xdr:col>24</xdr:col>
      <xdr:colOff>761285</xdr:colOff>
      <xdr:row>22</xdr:row>
      <xdr:rowOff>181677</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803630" y="1519555"/>
          <a:ext cx="3882390" cy="2858770"/>
        </a:xfrm>
        <a:prstGeom prst="rect">
          <a:avLst/>
        </a:prstGeom>
        <a:ln>
          <a:solidFill>
            <a:schemeClr val="accent1"/>
          </a:solidFill>
        </a:ln>
      </xdr:spPr>
    </xdr:pic>
    <xdr:clientData/>
  </xdr:twoCellAnchor>
  <xdr:twoCellAnchor editAs="oneCell">
    <xdr:from>
      <xdr:col>15</xdr:col>
      <xdr:colOff>47073</xdr:colOff>
      <xdr:row>7</xdr:row>
      <xdr:rowOff>119866</xdr:rowOff>
    </xdr:from>
    <xdr:to>
      <xdr:col>19</xdr:col>
      <xdr:colOff>533400</xdr:colOff>
      <xdr:row>22</xdr:row>
      <xdr:rowOff>181217</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880600" y="1529080"/>
          <a:ext cx="3620770" cy="2848610"/>
        </a:xfrm>
        <a:prstGeom prst="rect">
          <a:avLst/>
        </a:prstGeom>
        <a:ln>
          <a:solidFill>
            <a:schemeClr val="accent1"/>
          </a:solidFill>
        </a:ln>
      </xdr:spPr>
    </xdr:pic>
    <xdr:clientData/>
  </xdr:twoCellAnchor>
  <xdr:twoCellAnchor editAs="oneCell">
    <xdr:from>
      <xdr:col>15</xdr:col>
      <xdr:colOff>140916</xdr:colOff>
      <xdr:row>16</xdr:row>
      <xdr:rowOff>128565</xdr:rowOff>
    </xdr:from>
    <xdr:to>
      <xdr:col>16</xdr:col>
      <xdr:colOff>733220</xdr:colOff>
      <xdr:row>19</xdr:row>
      <xdr:rowOff>20929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9973945" y="3185795"/>
          <a:ext cx="1376045" cy="450215"/>
        </a:xfrm>
        <a:prstGeom prst="rect">
          <a:avLst/>
        </a:prstGeom>
        <a:ln>
          <a:solidFill>
            <a:schemeClr val="accent1"/>
          </a:solidFill>
        </a:ln>
      </xdr:spPr>
    </xdr:pic>
    <xdr:clientData/>
  </xdr:twoCellAnchor>
  <xdr:twoCellAnchor editAs="oneCell">
    <xdr:from>
      <xdr:col>15</xdr:col>
      <xdr:colOff>145846</xdr:colOff>
      <xdr:row>19</xdr:row>
      <xdr:rowOff>166664</xdr:rowOff>
    </xdr:from>
    <xdr:to>
      <xdr:col>16</xdr:col>
      <xdr:colOff>739006</xdr:colOff>
      <xdr:row>22</xdr:row>
      <xdr:rowOff>70038</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9979025" y="3782060"/>
          <a:ext cx="1376680" cy="476885"/>
        </a:xfrm>
        <a:prstGeom prst="rect">
          <a:avLst/>
        </a:prstGeom>
        <a:ln>
          <a:solidFill>
            <a:schemeClr val="accent1"/>
          </a:solidFill>
        </a:ln>
      </xdr:spPr>
    </xdr:pic>
    <xdr:clientData/>
  </xdr:twoCellAnchor>
  <xdr:twoCellAnchor editAs="oneCell">
    <xdr:from>
      <xdr:col>20</xdr:col>
      <xdr:colOff>175362</xdr:colOff>
      <xdr:row>16</xdr:row>
      <xdr:rowOff>90464</xdr:rowOff>
    </xdr:from>
    <xdr:to>
      <xdr:col>22</xdr:col>
      <xdr:colOff>35634</xdr:colOff>
      <xdr:row>19</xdr:row>
      <xdr:rowOff>12877</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13926820" y="3147695"/>
          <a:ext cx="1427480" cy="480695"/>
        </a:xfrm>
        <a:prstGeom prst="rect">
          <a:avLst/>
        </a:prstGeom>
        <a:ln>
          <a:solidFill>
            <a:schemeClr val="accent1"/>
          </a:solidFill>
        </a:ln>
      </xdr:spPr>
    </xdr:pic>
    <xdr:clientData/>
  </xdr:twoCellAnchor>
  <xdr:twoCellAnchor editAs="oneCell">
    <xdr:from>
      <xdr:col>20</xdr:col>
      <xdr:colOff>173141</xdr:colOff>
      <xdr:row>19</xdr:row>
      <xdr:rowOff>128133</xdr:rowOff>
    </xdr:from>
    <xdr:to>
      <xdr:col>22</xdr:col>
      <xdr:colOff>7176</xdr:colOff>
      <xdr:row>22</xdr:row>
      <xdr:rowOff>62986</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stretch>
          <a:fillRect/>
        </a:stretch>
      </xdr:blipFill>
      <xdr:spPr>
        <a:xfrm>
          <a:off x="13924280" y="3743325"/>
          <a:ext cx="1401445" cy="508635"/>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177075</xdr:colOff>
      <xdr:row>22</xdr:row>
      <xdr:rowOff>131309</xdr:rowOff>
    </xdr:from>
    <xdr:to>
      <xdr:col>24</xdr:col>
      <xdr:colOff>744429</xdr:colOff>
      <xdr:row>40</xdr:row>
      <xdr:rowOff>64143</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14538960" y="4352290"/>
          <a:ext cx="3585210" cy="3305175"/>
        </a:xfrm>
        <a:prstGeom prst="rect">
          <a:avLst/>
        </a:prstGeom>
      </xdr:spPr>
    </xdr:pic>
    <xdr:clientData/>
  </xdr:twoCellAnchor>
  <xdr:twoCellAnchor>
    <xdr:from>
      <xdr:col>25</xdr:col>
      <xdr:colOff>81022</xdr:colOff>
      <xdr:row>22</xdr:row>
      <xdr:rowOff>171450</xdr:rowOff>
    </xdr:from>
    <xdr:to>
      <xdr:col>31</xdr:col>
      <xdr:colOff>56972</xdr:colOff>
      <xdr:row>40</xdr:row>
      <xdr:rowOff>133349</xdr:rowOff>
    </xdr:to>
    <xdr:graphicFrame macro="">
      <xdr:nvGraphicFramePr>
        <xdr:cNvPr id="14" name="Graphique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2195</xdr:colOff>
      <xdr:row>23</xdr:row>
      <xdr:rowOff>56251</xdr:rowOff>
    </xdr:from>
    <xdr:to>
      <xdr:col>29</xdr:col>
      <xdr:colOff>146876</xdr:colOff>
      <xdr:row>24</xdr:row>
      <xdr:rowOff>157479</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a:stretch>
          <a:fillRect/>
        </a:stretch>
      </xdr:blipFill>
      <xdr:spPr>
        <a:xfrm>
          <a:off x="19644995" y="4460240"/>
          <a:ext cx="1653540" cy="2838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64457</xdr:colOff>
      <xdr:row>23</xdr:row>
      <xdr:rowOff>112059</xdr:rowOff>
    </xdr:from>
    <xdr:to>
      <xdr:col>31</xdr:col>
      <xdr:colOff>40407</xdr:colOff>
      <xdr:row>40</xdr:row>
      <xdr:rowOff>145676</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248497</xdr:colOff>
      <xdr:row>23</xdr:row>
      <xdr:rowOff>82886</xdr:rowOff>
    </xdr:from>
    <xdr:to>
      <xdr:col>24</xdr:col>
      <xdr:colOff>619124</xdr:colOff>
      <xdr:row>40</xdr:row>
      <xdr:rowOff>89453</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4610715" y="4494530"/>
          <a:ext cx="3387725" cy="3199130"/>
        </a:xfrm>
        <a:prstGeom prst="rect">
          <a:avLst/>
        </a:prstGeom>
      </xdr:spPr>
    </xdr:pic>
    <xdr:clientData/>
  </xdr:twoCellAnchor>
  <xdr:twoCellAnchor editAs="oneCell">
    <xdr:from>
      <xdr:col>26</xdr:col>
      <xdr:colOff>686921</xdr:colOff>
      <xdr:row>24</xdr:row>
      <xdr:rowOff>20402</xdr:rowOff>
    </xdr:from>
    <xdr:to>
      <xdr:col>29</xdr:col>
      <xdr:colOff>222190</xdr:colOff>
      <xdr:row>25</xdr:row>
      <xdr:rowOff>61900</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19575145" y="4615180"/>
          <a:ext cx="1798320" cy="2622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85"/>
  <sheetViews>
    <sheetView showGridLines="0" tabSelected="1" workbookViewId="0">
      <selection activeCell="O45" sqref="O45:V45"/>
    </sheetView>
  </sheetViews>
  <sheetFormatPr defaultColWidth="11.44140625" defaultRowHeight="14.4" outlineLevelCol="1"/>
  <cols>
    <col min="1" max="1" width="2.6640625" customWidth="1"/>
    <col min="2" max="2" width="0.88671875" customWidth="1"/>
    <col min="3" max="3" width="2.6640625" customWidth="1"/>
    <col min="5" max="6" width="11.44140625" customWidth="1"/>
    <col min="24" max="24" width="12"/>
    <col min="26" max="26" width="12.88671875"/>
    <col min="27" max="47" width="11.44140625" customWidth="1" outlineLevel="1"/>
    <col min="48" max="48" width="17" customWidth="1" outlineLevel="1"/>
    <col min="49" max="56" width="11.44140625" customWidth="1" outlineLevel="1"/>
    <col min="57" max="57" width="17" customWidth="1" outlineLevel="1"/>
    <col min="58" max="68" width="11.44140625" customWidth="1" outlineLevel="1"/>
  </cols>
  <sheetData>
    <row r="1" spans="4:26" ht="21">
      <c r="D1" s="1" t="s">
        <v>0</v>
      </c>
    </row>
    <row r="2" spans="4:26" ht="15" customHeight="1">
      <c r="D2" s="1"/>
    </row>
    <row r="3" spans="4:26" ht="15" customHeight="1">
      <c r="D3" s="28"/>
      <c r="E3" s="29" t="s">
        <v>1</v>
      </c>
    </row>
    <row r="4" spans="4:26" ht="15" customHeight="1">
      <c r="D4" s="1"/>
    </row>
    <row r="5" spans="4:26" ht="15" customHeight="1">
      <c r="D5" s="160" t="s">
        <v>2</v>
      </c>
      <c r="E5" s="160"/>
      <c r="F5" s="160"/>
      <c r="G5" s="160"/>
      <c r="H5" s="160"/>
      <c r="I5" s="160"/>
      <c r="J5" s="160"/>
      <c r="K5" s="160"/>
      <c r="L5" s="160"/>
      <c r="M5" s="160"/>
      <c r="N5" s="160"/>
      <c r="O5" s="37"/>
      <c r="P5" s="37"/>
    </row>
    <row r="6" spans="4:26">
      <c r="D6" s="160"/>
      <c r="E6" s="160"/>
      <c r="F6" s="160"/>
      <c r="G6" s="160"/>
      <c r="H6" s="160"/>
      <c r="I6" s="160"/>
      <c r="J6" s="160"/>
      <c r="K6" s="160"/>
      <c r="L6" s="160"/>
      <c r="M6" s="160"/>
      <c r="N6" s="160"/>
      <c r="O6" s="37"/>
      <c r="P6" s="37"/>
    </row>
    <row r="7" spans="4:26" ht="15.6">
      <c r="P7" s="38" t="s">
        <v>3</v>
      </c>
      <c r="U7" s="38" t="s">
        <v>4</v>
      </c>
    </row>
    <row r="8" spans="4:26">
      <c r="D8" s="30" t="s">
        <v>5</v>
      </c>
      <c r="E8" s="63" t="s">
        <v>6</v>
      </c>
      <c r="F8" s="64"/>
      <c r="G8" s="64"/>
      <c r="H8" s="65"/>
      <c r="I8" s="31"/>
      <c r="J8" s="39" t="s">
        <v>7</v>
      </c>
      <c r="K8" s="66" t="s">
        <v>8</v>
      </c>
      <c r="L8" s="67"/>
      <c r="M8" s="67"/>
      <c r="N8" s="68"/>
      <c r="O8" s="31"/>
      <c r="R8" s="31"/>
      <c r="S8" s="31"/>
      <c r="T8" s="31"/>
      <c r="W8" s="31"/>
      <c r="X8" s="31"/>
      <c r="Y8" s="31"/>
      <c r="Z8" s="31"/>
    </row>
    <row r="9" spans="4:26">
      <c r="D9" s="31"/>
      <c r="E9" s="31"/>
      <c r="F9" s="31"/>
      <c r="G9" s="31"/>
      <c r="H9" s="31"/>
      <c r="I9" s="31"/>
      <c r="J9" s="31"/>
      <c r="K9" s="31"/>
      <c r="L9" s="31"/>
      <c r="M9" s="31"/>
      <c r="N9" s="31"/>
      <c r="O9" s="31"/>
      <c r="P9" s="31"/>
      <c r="Q9" s="31"/>
      <c r="R9" s="31"/>
      <c r="S9" s="31"/>
      <c r="T9" s="31"/>
      <c r="U9" s="31"/>
      <c r="V9" s="31"/>
      <c r="W9" s="31"/>
      <c r="X9" s="31"/>
      <c r="Y9" s="31"/>
      <c r="Z9" s="31"/>
    </row>
    <row r="10" spans="4:26">
      <c r="D10" s="69" t="s">
        <v>9</v>
      </c>
      <c r="E10" s="69"/>
      <c r="F10" s="69"/>
      <c r="G10" s="70" t="str">
        <f>VLOOKUP(E8,'Tableaux généraux'!Z4:AD23,2,FALSE)</f>
        <v>FB</v>
      </c>
      <c r="H10" s="71"/>
      <c r="I10" s="31"/>
      <c r="J10" s="72" t="s">
        <v>10</v>
      </c>
      <c r="K10" s="73"/>
      <c r="L10" s="74" t="str">
        <f>IF(OR(G21=0,G21="",E29="",G29=""),"-",VLOOKUP("Sol d'ancrage",AL29:AP38,3,FALSE))</f>
        <v>Argile % CaCO3 &lt; 30 % Limon</v>
      </c>
      <c r="M10" s="75"/>
      <c r="N10" s="76"/>
      <c r="O10" s="31"/>
      <c r="P10" s="31"/>
      <c r="Q10" s="31"/>
      <c r="R10" s="31"/>
      <c r="S10" s="31"/>
      <c r="T10" s="31"/>
      <c r="U10" s="31"/>
      <c r="V10" s="31"/>
      <c r="W10" s="31"/>
      <c r="X10" s="31"/>
      <c r="Y10" s="31"/>
      <c r="Z10" s="31"/>
    </row>
    <row r="11" spans="4:26">
      <c r="D11" s="69" t="s">
        <v>11</v>
      </c>
      <c r="E11" s="69"/>
      <c r="F11" s="69"/>
      <c r="G11" s="77" t="str">
        <f>VLOOKUP(E8,'Tableaux généraux'!Z4:AD23,3,FALSE)</f>
        <v>NF EN 1536</v>
      </c>
      <c r="H11" s="77"/>
      <c r="I11" s="31"/>
      <c r="J11" s="31"/>
      <c r="K11" s="31"/>
      <c r="L11" s="31"/>
      <c r="M11" s="31"/>
      <c r="N11" s="31"/>
      <c r="O11" s="31"/>
      <c r="P11" s="31"/>
      <c r="Q11" s="31"/>
      <c r="R11" s="31"/>
      <c r="S11" s="31"/>
      <c r="T11" s="31"/>
      <c r="U11" s="31"/>
      <c r="V11" s="31"/>
      <c r="W11" s="31"/>
      <c r="X11" s="31"/>
      <c r="Y11" s="31"/>
      <c r="Z11" s="31"/>
    </row>
    <row r="12" spans="4:26">
      <c r="D12" s="69" t="s">
        <v>12</v>
      </c>
      <c r="E12" s="69"/>
      <c r="F12" s="69"/>
      <c r="G12" s="77">
        <f>VLOOKUP(E8,'Tableaux généraux'!Z4:AD23,4,FALSE)</f>
        <v>1</v>
      </c>
      <c r="H12" s="77"/>
      <c r="I12" s="31"/>
      <c r="K12" s="78" t="s">
        <v>13</v>
      </c>
      <c r="L12" s="79"/>
      <c r="M12" s="80"/>
      <c r="N12" s="40">
        <f>MAX((G19/1000)/2,0.5)</f>
        <v>1.25</v>
      </c>
      <c r="O12" s="31"/>
      <c r="P12" s="31"/>
      <c r="Q12" s="31"/>
      <c r="R12" s="31"/>
      <c r="S12" s="31"/>
      <c r="T12" s="31"/>
      <c r="U12" s="31"/>
      <c r="V12" s="31"/>
      <c r="W12" s="31"/>
      <c r="X12" s="31"/>
      <c r="Y12" s="31"/>
      <c r="Z12" s="31"/>
    </row>
    <row r="13" spans="4:26">
      <c r="D13" s="69" t="s">
        <v>14</v>
      </c>
      <c r="E13" s="69"/>
      <c r="F13" s="69"/>
      <c r="G13" s="77">
        <f>VLOOKUP(E8,'Tableaux généraux'!Z4:AD23,5,FALSE)</f>
        <v>2</v>
      </c>
      <c r="H13" s="77"/>
      <c r="I13" s="31"/>
      <c r="K13" s="78" t="s">
        <v>15</v>
      </c>
      <c r="L13" s="79"/>
      <c r="M13" s="80"/>
      <c r="N13" s="40">
        <f>MIN(N12,G21)</f>
        <v>1.25</v>
      </c>
      <c r="O13" s="31"/>
      <c r="P13" s="31"/>
      <c r="Q13" s="31"/>
      <c r="R13" s="31"/>
      <c r="S13" s="31"/>
      <c r="T13" s="31"/>
      <c r="U13" s="31"/>
      <c r="V13" s="31"/>
      <c r="W13" s="31"/>
      <c r="X13" s="31"/>
      <c r="Y13" s="31"/>
      <c r="Z13" s="31"/>
    </row>
    <row r="14" spans="4:26">
      <c r="D14" s="31"/>
      <c r="E14" s="31"/>
      <c r="F14" s="31"/>
      <c r="G14" s="31"/>
      <c r="H14" s="31"/>
      <c r="I14" s="31"/>
      <c r="K14" s="78" t="s">
        <v>16</v>
      </c>
      <c r="L14" s="79"/>
      <c r="M14" s="80"/>
      <c r="N14" s="40">
        <f>G20-N13</f>
        <v>28.75</v>
      </c>
      <c r="O14" s="31"/>
      <c r="P14" s="31"/>
      <c r="Q14" s="31"/>
      <c r="R14" s="31"/>
      <c r="S14" s="31"/>
      <c r="T14" s="31"/>
      <c r="U14" s="31"/>
      <c r="V14" s="31"/>
      <c r="W14" s="31"/>
      <c r="X14" s="31"/>
      <c r="Y14" s="31"/>
      <c r="Z14" s="31"/>
    </row>
    <row r="15" spans="4:26">
      <c r="D15" s="78" t="s">
        <v>17</v>
      </c>
      <c r="E15" s="79"/>
      <c r="F15" s="80"/>
      <c r="G15" s="63" t="s">
        <v>18</v>
      </c>
      <c r="H15" s="65"/>
      <c r="I15" s="31"/>
      <c r="K15" s="78" t="s">
        <v>19</v>
      </c>
      <c r="L15" s="79"/>
      <c r="M15" s="80"/>
      <c r="N15" s="40">
        <f>G20+3*N12</f>
        <v>33.75</v>
      </c>
      <c r="O15" s="31"/>
      <c r="P15" s="31"/>
      <c r="Q15" s="31"/>
      <c r="R15" s="31"/>
      <c r="S15" s="31"/>
      <c r="T15" s="31"/>
      <c r="U15" s="31"/>
      <c r="V15" s="31"/>
      <c r="W15" s="31"/>
      <c r="X15" s="31"/>
      <c r="Y15" s="31"/>
      <c r="Z15" s="31"/>
    </row>
    <row r="16" spans="4:26">
      <c r="D16" s="78" t="s">
        <v>20</v>
      </c>
      <c r="E16" s="79"/>
      <c r="F16" s="80"/>
      <c r="G16" s="81" t="s">
        <v>21</v>
      </c>
      <c r="H16" s="81"/>
      <c r="I16" s="41" t="s">
        <v>22</v>
      </c>
      <c r="K16" s="78" t="s">
        <v>23</v>
      </c>
      <c r="L16" s="79"/>
      <c r="M16" s="80"/>
      <c r="N16" s="42">
        <f>SUM(AW29:AW38)</f>
        <v>5</v>
      </c>
      <c r="O16" s="31"/>
      <c r="P16" s="31"/>
      <c r="Q16" s="31"/>
      <c r="R16" s="31"/>
      <c r="S16" s="31"/>
      <c r="T16" s="31"/>
      <c r="U16" s="31"/>
      <c r="V16" s="31"/>
      <c r="W16" s="31"/>
      <c r="X16" s="31"/>
      <c r="Y16" s="31"/>
      <c r="Z16" s="31"/>
    </row>
    <row r="17" spans="1:68">
      <c r="D17" s="78" t="s">
        <v>24</v>
      </c>
      <c r="E17" s="79"/>
      <c r="F17" s="80"/>
      <c r="G17" s="81" t="s">
        <v>25</v>
      </c>
      <c r="H17" s="81"/>
      <c r="I17" s="31"/>
      <c r="K17" s="78" t="str">
        <f>IF(K8="Méthode pressiométrique (annexe F)","Pression limite nette équivalente : ple*",IF(K8="Méthode pénétrométrique (annexe G)","Résistance à la pénétration équivalente : qce"))</f>
        <v>Pression limite nette équivalente : ple*</v>
      </c>
      <c r="L17" s="79"/>
      <c r="M17" s="79"/>
      <c r="N17" s="43">
        <f>IF(AND(SUM(AW29:AW38)&lt;&gt;0,SUM(AY29:AY38)&lt;&gt;0),SUM(AY29:AY38)/SUM(AW29:AW38),"-")</f>
        <v>4</v>
      </c>
      <c r="O17" s="31"/>
      <c r="P17" s="31"/>
      <c r="Q17" s="31"/>
      <c r="R17" s="31"/>
      <c r="S17" s="31"/>
      <c r="T17" s="31"/>
      <c r="U17" s="31"/>
      <c r="V17" s="31"/>
      <c r="W17" s="31"/>
      <c r="X17" s="31"/>
      <c r="Y17" s="31"/>
      <c r="Z17" s="31"/>
    </row>
    <row r="18" spans="1:68">
      <c r="O18" s="31"/>
      <c r="P18" s="31"/>
      <c r="Q18" s="31"/>
      <c r="R18" s="31"/>
      <c r="S18" s="31"/>
      <c r="T18" s="31"/>
      <c r="U18" s="31"/>
      <c r="V18" s="31"/>
      <c r="W18" s="31"/>
      <c r="X18" s="31"/>
      <c r="Y18" s="31"/>
      <c r="Z18" s="31"/>
    </row>
    <row r="19" spans="1:68">
      <c r="D19" s="78" t="s">
        <v>26</v>
      </c>
      <c r="E19" s="79"/>
      <c r="F19" s="80"/>
      <c r="G19" s="81">
        <v>2500</v>
      </c>
      <c r="H19" s="81"/>
      <c r="I19" s="41" t="s">
        <v>27</v>
      </c>
      <c r="K19" s="78" t="s">
        <v>28</v>
      </c>
      <c r="L19" s="79"/>
      <c r="M19" s="80"/>
      <c r="N19" s="40">
        <f>MIN(10*(G19/1000),G20)</f>
        <v>25</v>
      </c>
      <c r="O19" s="31"/>
      <c r="P19" s="31"/>
      <c r="Q19" s="31"/>
      <c r="R19" s="31"/>
      <c r="S19" s="31"/>
      <c r="T19" s="31"/>
      <c r="U19" s="31"/>
      <c r="V19" s="31"/>
      <c r="W19" s="31"/>
      <c r="X19" s="31"/>
      <c r="Y19" s="31"/>
      <c r="Z19" s="31"/>
    </row>
    <row r="20" spans="1:68">
      <c r="D20" s="78" t="s">
        <v>29</v>
      </c>
      <c r="E20" s="79"/>
      <c r="F20" s="80"/>
      <c r="G20" s="82">
        <v>30</v>
      </c>
      <c r="H20" s="83"/>
      <c r="I20" s="31"/>
      <c r="K20" s="78" t="s">
        <v>30</v>
      </c>
      <c r="L20" s="79"/>
      <c r="M20" s="80"/>
      <c r="N20" s="40">
        <f>G20-N19</f>
        <v>5</v>
      </c>
      <c r="O20" s="31"/>
      <c r="P20" s="31"/>
      <c r="Q20" s="31"/>
      <c r="R20" s="31"/>
      <c r="S20" s="31"/>
      <c r="T20" s="31"/>
      <c r="U20" s="31"/>
      <c r="V20" s="31"/>
      <c r="W20" s="31"/>
      <c r="X20" s="31"/>
      <c r="Y20" s="31"/>
      <c r="Z20" s="31"/>
    </row>
    <row r="21" spans="1:68">
      <c r="D21" s="78" t="s">
        <v>31</v>
      </c>
      <c r="E21" s="79"/>
      <c r="F21" s="80"/>
      <c r="G21" s="82">
        <v>16.5</v>
      </c>
      <c r="H21" s="83"/>
      <c r="I21" s="31"/>
      <c r="K21" s="78" t="s">
        <v>32</v>
      </c>
      <c r="L21" s="79"/>
      <c r="M21" s="80"/>
      <c r="N21" s="40">
        <f>G20</f>
        <v>30</v>
      </c>
      <c r="O21" s="31"/>
      <c r="P21" s="31"/>
      <c r="Q21" s="31"/>
      <c r="R21" s="31"/>
      <c r="S21" s="31"/>
      <c r="T21" s="31"/>
      <c r="U21" s="31"/>
      <c r="V21" s="31"/>
      <c r="W21" s="31"/>
      <c r="X21" s="31"/>
      <c r="Y21" s="31"/>
      <c r="Z21" s="31"/>
    </row>
    <row r="22" spans="1:68">
      <c r="D22" s="78" t="s">
        <v>33</v>
      </c>
      <c r="E22" s="79"/>
      <c r="F22" s="80"/>
      <c r="G22" s="84">
        <v>4.9089999999999998</v>
      </c>
      <c r="H22" s="85"/>
      <c r="I22" s="86">
        <f>PI()*POWER(G19/1000,2)/4</f>
        <v>4.9087385212340502</v>
      </c>
      <c r="J22" s="87"/>
      <c r="K22" s="78" t="s">
        <v>34</v>
      </c>
      <c r="L22" s="79"/>
      <c r="M22" s="80"/>
      <c r="N22" s="42">
        <f>SUM(BF29:BF38)</f>
        <v>25</v>
      </c>
      <c r="O22" s="31"/>
      <c r="P22" s="31"/>
      <c r="Q22" s="31"/>
      <c r="R22" s="31"/>
      <c r="S22" s="31"/>
      <c r="T22" s="31"/>
      <c r="U22" s="31"/>
      <c r="V22" s="31"/>
      <c r="W22" s="31"/>
      <c r="X22" s="31"/>
      <c r="Y22" s="31"/>
      <c r="Z22" s="31"/>
    </row>
    <row r="23" spans="1:68">
      <c r="D23" s="78" t="s">
        <v>35</v>
      </c>
      <c r="E23" s="79"/>
      <c r="F23" s="80"/>
      <c r="G23" s="84">
        <v>7.8540000000000001</v>
      </c>
      <c r="H23" s="85"/>
      <c r="I23" s="86">
        <f>PI()*(G19/1000)</f>
        <v>7.8539816339744801</v>
      </c>
      <c r="J23" s="87"/>
      <c r="K23" s="78" t="s">
        <v>36</v>
      </c>
      <c r="L23" s="79"/>
      <c r="M23" s="79"/>
      <c r="N23" s="44">
        <f>IF(N17="-","-",MAX(SUM(BH29:BH38)/N17,IF((G19/1000)&gt;0.5,1.5,3*(G19/1000))))</f>
        <v>19.05</v>
      </c>
      <c r="O23" s="31"/>
      <c r="P23" s="31"/>
      <c r="Q23" s="31"/>
      <c r="R23" s="31"/>
      <c r="S23" s="31"/>
      <c r="T23" s="31"/>
      <c r="U23" s="31"/>
      <c r="V23" s="31"/>
      <c r="W23" s="31"/>
      <c r="X23" s="31"/>
      <c r="Y23" s="31"/>
      <c r="Z23" s="31"/>
    </row>
    <row r="24" spans="1:68">
      <c r="D24" s="31"/>
      <c r="E24" s="31"/>
      <c r="F24" s="31"/>
      <c r="G24" s="31"/>
      <c r="H24" s="31"/>
      <c r="I24" s="31"/>
      <c r="J24" s="31"/>
      <c r="K24" s="31"/>
      <c r="L24" s="31"/>
      <c r="M24" s="31"/>
      <c r="N24" s="31"/>
      <c r="O24" s="31"/>
      <c r="P24" s="31"/>
      <c r="Q24" s="31"/>
      <c r="R24" s="31"/>
      <c r="S24" s="31"/>
      <c r="T24" s="31"/>
      <c r="U24" s="31"/>
      <c r="V24" s="31"/>
      <c r="W24" s="31"/>
      <c r="X24" s="31"/>
      <c r="Y24" s="31"/>
      <c r="Z24" s="31"/>
    </row>
    <row r="25" spans="1:68" ht="15" customHeight="1">
      <c r="D25" s="32" t="s">
        <v>37</v>
      </c>
      <c r="E25" s="33"/>
      <c r="F25" s="33"/>
      <c r="G25" s="33"/>
      <c r="H25" s="34"/>
      <c r="I25" s="31"/>
      <c r="J25" s="31"/>
      <c r="K25" s="31"/>
      <c r="L25" s="31"/>
      <c r="M25" s="45"/>
      <c r="N25" s="88" t="s">
        <v>38</v>
      </c>
      <c r="O25" s="88"/>
      <c r="P25" s="88"/>
      <c r="Q25" s="52"/>
      <c r="R25" s="31"/>
      <c r="S25" s="31"/>
      <c r="T25" s="31"/>
      <c r="U25" s="31"/>
      <c r="V25" s="31"/>
      <c r="W25" s="31"/>
      <c r="X25" s="31"/>
      <c r="Y25" s="31"/>
      <c r="Z25" s="31"/>
      <c r="AA25" s="77" t="s">
        <v>39</v>
      </c>
      <c r="AB25" s="77"/>
      <c r="AC25" s="77"/>
      <c r="AD25" s="77"/>
      <c r="AE25" s="77"/>
      <c r="AF25" s="77"/>
      <c r="AG25" s="77"/>
      <c r="AH25" s="77"/>
      <c r="AJ25" s="77" t="s">
        <v>40</v>
      </c>
      <c r="AK25" s="77"/>
      <c r="AL25" s="77"/>
      <c r="AM25" s="77"/>
      <c r="AN25" s="77"/>
      <c r="AO25" s="77"/>
      <c r="AP25" s="77"/>
      <c r="AR25" s="77" t="str">
        <f>IF(K8="Méthode pressiométrique (annexe F)","Détermination de la pression limite nette équivalente",IF(K8="Méthode pénétrométrique (annexe G)","Détermination de la résistance à la pénétration équivalente "))</f>
        <v>Détermination de la pression limite nette équivalente</v>
      </c>
      <c r="AS25" s="77"/>
      <c r="AT25" s="77"/>
      <c r="AU25" s="77"/>
      <c r="AV25" s="77"/>
      <c r="AW25" s="77"/>
      <c r="AX25" s="77"/>
      <c r="AY25" s="77"/>
      <c r="BA25" s="77" t="s">
        <v>41</v>
      </c>
      <c r="BB25" s="77"/>
      <c r="BC25" s="77"/>
      <c r="BD25" s="77"/>
      <c r="BE25" s="77"/>
      <c r="BF25" s="77"/>
      <c r="BG25" s="77"/>
      <c r="BH25" s="77"/>
      <c r="BJ25" s="154" t="s">
        <v>42</v>
      </c>
      <c r="BK25" s="155"/>
      <c r="BM25" s="77" t="s">
        <v>43</v>
      </c>
      <c r="BN25" s="77"/>
      <c r="BO25" s="77"/>
      <c r="BP25" s="77"/>
    </row>
    <row r="26" spans="1:68" ht="5.0999999999999996" customHeight="1">
      <c r="D26" s="31"/>
      <c r="E26" s="31"/>
      <c r="F26" s="31"/>
      <c r="G26" s="31"/>
      <c r="H26" s="31"/>
      <c r="I26" s="31"/>
      <c r="J26" s="31"/>
      <c r="K26" s="31"/>
      <c r="L26" s="31"/>
      <c r="M26" s="31"/>
      <c r="N26" s="31"/>
      <c r="O26" s="31"/>
      <c r="P26" s="31"/>
      <c r="Q26" s="31"/>
      <c r="R26" s="31"/>
      <c r="S26" s="31"/>
      <c r="T26" s="31"/>
      <c r="U26" s="31"/>
      <c r="V26" s="31"/>
      <c r="W26" s="31"/>
      <c r="X26" s="31"/>
      <c r="Y26" s="31"/>
      <c r="Z26" s="31"/>
      <c r="AA26" s="77"/>
      <c r="AB26" s="77"/>
      <c r="AC26" s="77"/>
      <c r="AD26" s="77"/>
      <c r="AE26" s="77"/>
      <c r="AF26" s="77"/>
      <c r="AG26" s="77"/>
      <c r="AH26" s="77"/>
      <c r="AJ26" s="77"/>
      <c r="AK26" s="77"/>
      <c r="AL26" s="77"/>
      <c r="AM26" s="77"/>
      <c r="AN26" s="77"/>
      <c r="AO26" s="77"/>
      <c r="AP26" s="77"/>
      <c r="AR26" s="77"/>
      <c r="AS26" s="77"/>
      <c r="AT26" s="77"/>
      <c r="AU26" s="77"/>
      <c r="AV26" s="77"/>
      <c r="AW26" s="77"/>
      <c r="AX26" s="77"/>
      <c r="AY26" s="77"/>
      <c r="BA26" s="77"/>
      <c r="BB26" s="77"/>
      <c r="BC26" s="77"/>
      <c r="BD26" s="77"/>
      <c r="BE26" s="77"/>
      <c r="BF26" s="77"/>
      <c r="BG26" s="77"/>
      <c r="BH26" s="77"/>
      <c r="BJ26" s="94"/>
      <c r="BK26" s="95"/>
      <c r="BM26" s="77"/>
      <c r="BN26" s="77"/>
      <c r="BO26" s="77"/>
      <c r="BP26" s="77"/>
    </row>
    <row r="27" spans="1:68" ht="15" customHeight="1">
      <c r="A27" s="148" t="s">
        <v>44</v>
      </c>
      <c r="B27" s="148"/>
      <c r="C27" s="149"/>
      <c r="D27" s="120" t="s">
        <v>45</v>
      </c>
      <c r="E27" s="139" t="s">
        <v>46</v>
      </c>
      <c r="F27" s="140"/>
      <c r="G27" s="139" t="s">
        <v>47</v>
      </c>
      <c r="H27" s="150"/>
      <c r="I27" s="140"/>
      <c r="J27" s="121" t="s">
        <v>48</v>
      </c>
      <c r="K27" s="121" t="s">
        <v>49</v>
      </c>
      <c r="L27" s="123" t="str">
        <f>IF(Calculs!K8="Méthode pressiométrique (annexe F)","pl*",IF(Calculs!K8="Méthode pénétrométrique (annexe G)","qc"))</f>
        <v>pl*</v>
      </c>
      <c r="M27" s="121" t="s">
        <v>50</v>
      </c>
      <c r="N27" s="121" t="s">
        <v>51</v>
      </c>
      <c r="O27" s="121" t="s">
        <v>52</v>
      </c>
      <c r="P27" s="121" t="s">
        <v>53</v>
      </c>
      <c r="Q27" s="123" t="s">
        <v>54</v>
      </c>
      <c r="R27" s="123" t="s">
        <v>55</v>
      </c>
      <c r="S27" s="123" t="s">
        <v>56</v>
      </c>
      <c r="T27" s="123" t="s">
        <v>57</v>
      </c>
      <c r="U27" s="123" t="s">
        <v>58</v>
      </c>
      <c r="V27" s="123" t="s">
        <v>59</v>
      </c>
      <c r="W27" s="121" t="s">
        <v>60</v>
      </c>
      <c r="X27" s="121" t="s">
        <v>61</v>
      </c>
      <c r="Y27" s="121" t="s">
        <v>62</v>
      </c>
      <c r="Z27" s="31"/>
      <c r="AA27" s="143" t="s">
        <v>63</v>
      </c>
      <c r="AB27" s="143"/>
      <c r="AC27" s="143" t="s">
        <v>64</v>
      </c>
      <c r="AD27" s="143"/>
      <c r="AE27" s="143" t="s">
        <v>65</v>
      </c>
      <c r="AF27" s="143"/>
      <c r="AG27" s="143" t="s">
        <v>66</v>
      </c>
      <c r="AH27" s="143"/>
      <c r="AJ27" s="144" t="s">
        <v>67</v>
      </c>
      <c r="AK27" s="145"/>
      <c r="AL27" s="156" t="s">
        <v>40</v>
      </c>
      <c r="AM27" s="157"/>
      <c r="AN27" s="144" t="s">
        <v>47</v>
      </c>
      <c r="AO27" s="152"/>
      <c r="AP27" s="145"/>
      <c r="AR27" s="144" t="s">
        <v>68</v>
      </c>
      <c r="AS27" s="145"/>
      <c r="AT27" s="144" t="s">
        <v>69</v>
      </c>
      <c r="AU27" s="145"/>
      <c r="AV27" s="125" t="s">
        <v>70</v>
      </c>
      <c r="AW27" s="125" t="s">
        <v>71</v>
      </c>
      <c r="AX27" s="127" t="str">
        <f>IF(Calculs!K8="Méthode pressiométrique (annexe F)","pl*",IF(Calculs!K8="Méthode pénétrométrique (annexe G)","qc"))</f>
        <v>pl*</v>
      </c>
      <c r="AY27" s="129" t="str">
        <f>IF(Calculs!K8="Méthode pressiométrique (annexe F)","ep. X pl*",IF(Calculs!K8="Méthode pénétrométrique (annexe G)","ep. X qc"))</f>
        <v>ep. X pl*</v>
      </c>
      <c r="BA27" s="144" t="s">
        <v>67</v>
      </c>
      <c r="BB27" s="145"/>
      <c r="BC27" s="144" t="s">
        <v>72</v>
      </c>
      <c r="BD27" s="145"/>
      <c r="BE27" s="125" t="s">
        <v>70</v>
      </c>
      <c r="BF27" s="125" t="s">
        <v>71</v>
      </c>
      <c r="BG27" s="127" t="str">
        <f>IF(Calculs!K8="Méthode pressiométrique (annexe F)","pl*",IF(Calculs!K8="Méthode pénétrométrique (annexe G)","qc"))</f>
        <v>pl*</v>
      </c>
      <c r="BH27" s="129" t="str">
        <f>IF(Calculs!K8="Méthode pressiométrique (annexe F)","ep. X pl*",IF(Calculs!K8="Méthode pénétrométrique (annexe G)","ep. X qc"))</f>
        <v>ep. X pl*</v>
      </c>
      <c r="BJ27" s="6" t="s">
        <v>73</v>
      </c>
      <c r="BK27" s="9">
        <f>G40</f>
        <v>1.1499999999999999</v>
      </c>
      <c r="BM27" s="6" t="s">
        <v>73</v>
      </c>
      <c r="BN27" s="89">
        <f>G40</f>
        <v>1.1499999999999999</v>
      </c>
      <c r="BO27" s="89"/>
      <c r="BP27" s="89"/>
    </row>
    <row r="28" spans="1:68" ht="15" customHeight="1">
      <c r="A28" s="148"/>
      <c r="B28" s="148"/>
      <c r="C28" s="149"/>
      <c r="D28" s="120"/>
      <c r="E28" s="141"/>
      <c r="F28" s="142"/>
      <c r="G28" s="141"/>
      <c r="H28" s="151"/>
      <c r="I28" s="142"/>
      <c r="J28" s="122"/>
      <c r="K28" s="122"/>
      <c r="L28" s="124"/>
      <c r="M28" s="122"/>
      <c r="N28" s="122"/>
      <c r="O28" s="122"/>
      <c r="P28" s="122"/>
      <c r="Q28" s="124"/>
      <c r="R28" s="124"/>
      <c r="S28" s="124"/>
      <c r="T28" s="124"/>
      <c r="U28" s="124"/>
      <c r="V28" s="124"/>
      <c r="W28" s="122"/>
      <c r="X28" s="122"/>
      <c r="Y28" s="122"/>
      <c r="Z28" s="31"/>
      <c r="AA28" s="143"/>
      <c r="AB28" s="143"/>
      <c r="AC28" s="143"/>
      <c r="AD28" s="143"/>
      <c r="AE28" s="143"/>
      <c r="AF28" s="143"/>
      <c r="AG28" s="143"/>
      <c r="AH28" s="143"/>
      <c r="AJ28" s="146"/>
      <c r="AK28" s="147"/>
      <c r="AL28" s="158"/>
      <c r="AM28" s="159"/>
      <c r="AN28" s="146"/>
      <c r="AO28" s="153"/>
      <c r="AP28" s="147"/>
      <c r="AR28" s="146"/>
      <c r="AS28" s="147"/>
      <c r="AT28" s="146"/>
      <c r="AU28" s="147"/>
      <c r="AV28" s="126"/>
      <c r="AW28" s="126"/>
      <c r="AX28" s="128"/>
      <c r="AY28" s="130"/>
      <c r="BA28" s="146"/>
      <c r="BB28" s="147"/>
      <c r="BC28" s="146"/>
      <c r="BD28" s="147"/>
      <c r="BE28" s="126"/>
      <c r="BF28" s="126"/>
      <c r="BG28" s="128"/>
      <c r="BH28" s="130"/>
      <c r="BJ28" s="6" t="s">
        <v>74</v>
      </c>
      <c r="BK28" s="9">
        <f>1+(G40-1)*(G41/5)</f>
        <v>1.2285999999999999</v>
      </c>
      <c r="BM28" s="77" t="s">
        <v>74</v>
      </c>
      <c r="BN28" s="90" t="str">
        <f>'Tableaux généraux'!Z25</f>
        <v>Argile % CaCO3 &lt; 30 % Limon</v>
      </c>
      <c r="BO28" s="90"/>
      <c r="BP28" s="9">
        <f>0.3+(G40-0.3)*(G41/5)</f>
        <v>1.5953999999999999</v>
      </c>
    </row>
    <row r="29" spans="1:68" ht="15">
      <c r="D29" s="35">
        <v>1</v>
      </c>
      <c r="E29" s="91" t="s">
        <v>75</v>
      </c>
      <c r="F29" s="92"/>
      <c r="G29" s="91" t="s">
        <v>76</v>
      </c>
      <c r="H29" s="93"/>
      <c r="I29" s="92"/>
      <c r="J29" s="46">
        <v>7.5</v>
      </c>
      <c r="K29" s="47">
        <f>IF(J29&lt;&gt;"",J29,"")</f>
        <v>7.5</v>
      </c>
      <c r="L29" s="48">
        <v>1.2</v>
      </c>
      <c r="M29" s="2" t="str">
        <f>IF(OR(G29="",E29="",J29="",L29=""),"",IF($K$8="Méthode pressiométrique (annexe F)",HLOOKUP(G29,'Tableaux - méthode pressio'!$AI$37:$AN$41,2,FALSE),IF($K$8="Méthode pénétrométrique (annexe G)",HLOOKUP(G29,'Tableaux - méthode pénétro'!$AH$37:$AM$41,2,FALSE))))</f>
        <v>Q1</v>
      </c>
      <c r="N29" s="49">
        <f>IF(OR(G29="",E29="",J29="",L29=""),"",IF($K$8="Méthode pressiométrique (annexe F)",HLOOKUP(G29,'Tableaux - méthode pressio'!$AI$37:$AN$41,3,FALSE),IF($K$8="Méthode pénétrométrique (annexe G)",HLOOKUP(G29,'Tableaux - méthode pénétro'!$AH$37:$AM$41,3,FALSE))))</f>
        <v>3.0000000000000001E-3</v>
      </c>
      <c r="O29" s="50">
        <f>IF(OR(G29="",E29="",J29="",L29=""),"",IF($K$8="Méthode pressiométrique (annexe F)",HLOOKUP(G29,'Tableaux - méthode pressio'!$AI$37:$AN$41,4,FALSE),IF($K$8="Méthode pénétrométrique (annexe G)",HLOOKUP(G29,'Tableaux - méthode pénétro'!$AH$37:$AM$41,4,FALSE))))</f>
        <v>0.04</v>
      </c>
      <c r="P29" s="50">
        <f>IF(OR(G29="",E29="",J29="",L29=""),"",IF($K$8="Méthode pressiométrique (annexe F)",HLOOKUP(G29,'Tableaux - méthode pressio'!$AI$37:$AN$41,5,FALSE),IF($K$8="Méthode pénétrométrique (annexe G)",HLOOKUP(G29,'Tableaux - méthode pénétro'!$AH$37:$AM$41,5,FALSE))))</f>
        <v>3.5</v>
      </c>
      <c r="Q29" s="53">
        <f>IF(OR(L29="",G29="",E29="",J29=""),"",1000*(N29*L29+O29)*(1-EXP(-P29*L29)))</f>
        <v>42.946192850627199</v>
      </c>
      <c r="R29" s="50">
        <f>IF(OR(G29="",E29="",J29="",L29=""),"",IF($K$8="Méthode pressiométrique (annexe F)",HLOOKUP(G29,'Tableaux - méthode pressio'!$AI$14:$AN$34,$G$13+1,FALSE),IF($K$8="Méthode pénétrométrique (annexe G)",HLOOKUP(G29,'Tableaux - méthode pénétro'!$AH$14:$AM$34,$G$13+1,FALSE))))</f>
        <v>1.25</v>
      </c>
      <c r="S29" s="53">
        <f>IF(OR(L29="",G29="",E29="",J29=""),"",IF(R29="-","-",R29*Q29))</f>
        <v>53.682741063283999</v>
      </c>
      <c r="T29" s="54">
        <f>IF(OR(G29="",E29="",J29="",L29=""),"",HLOOKUP(G29,'Tableaux généraux'!$AG$3:$AL$23,$G$13+1,FALSE))</f>
        <v>90</v>
      </c>
      <c r="U29" s="53">
        <f>IF(OR(L29="",G29="",E29="",J29=""),"",IF(OR(T29="-",S29="-"),S29,MIN(S29,T29)))</f>
        <v>53.682741063283999</v>
      </c>
      <c r="V29" s="53">
        <f>IF(OR(L29="",G29="",E29="",J29=""),"",IF(U29="-","-",U29/($M$52*$M$53)))</f>
        <v>42.436949457141502</v>
      </c>
      <c r="W29" s="47">
        <f>IF(J29="","",IF(IF((K29-$G$20)&gt;0,J29-(K29-$G$20),J29)=0,"",IF((K29-$G$20)&gt;0,J29-(K29-$G$20),J29)))</f>
        <v>7.5</v>
      </c>
      <c r="X29" s="55">
        <f>IF(W29&lt;&gt;"",$G$23*W29,"")</f>
        <v>58.905000000000001</v>
      </c>
      <c r="Y29" s="60">
        <f>IF(AND(V29&lt;&gt;"",V29&lt;&gt;"-",X29&lt;&gt;""),V29*X29,"")</f>
        <v>2499.7485077729202</v>
      </c>
      <c r="Z29" s="31"/>
      <c r="AA29" s="94" t="b">
        <f>ISBLANK(E29)</f>
        <v>0</v>
      </c>
      <c r="AB29" s="95"/>
      <c r="AC29" s="94" t="b">
        <f t="shared" ref="AC29:AC38" si="0">ISBLANK(G29)</f>
        <v>0</v>
      </c>
      <c r="AD29" s="95"/>
      <c r="AE29" s="94" t="b">
        <f t="shared" ref="AE29:AE38" si="1">AND(AA29=FALSE,AC29=FALSE)</f>
        <v>1</v>
      </c>
      <c r="AF29" s="95"/>
      <c r="AG29" s="94" t="b">
        <f>TRUE</f>
        <v>1</v>
      </c>
      <c r="AH29" s="95"/>
      <c r="AJ29" s="77" t="str">
        <f>IF(AND($G$21&lt;&gt;"",$G$21&lt;&gt;0,E29&lt;&gt;""),$E$29,"")</f>
        <v>Argile</v>
      </c>
      <c r="AK29" s="77"/>
      <c r="AL29" s="77" t="str">
        <f>IF(AND(AJ30="",AJ29&lt;&gt;""),"Sol d'ancrage","")</f>
        <v/>
      </c>
      <c r="AM29" s="77"/>
      <c r="AN29" s="77" t="str">
        <f t="shared" ref="AN29:AN38" si="2">IF(AND(AJ29=E29,AJ29&lt;&gt;"",G29&lt;&gt;""),G29,"")</f>
        <v>Argile % CaCO3 &lt; 30 % Limon</v>
      </c>
      <c r="AO29" s="77"/>
      <c r="AP29" s="77"/>
      <c r="AR29" s="70" t="str">
        <f>IF(E29&lt;&gt;"",E29,"")</f>
        <v>Argile</v>
      </c>
      <c r="AS29" s="71"/>
      <c r="AT29" s="70" t="str">
        <f>IF(AND(OR(K29&gt;$N$14,K29=$N$14),E29&lt;&gt;""),E29,"")</f>
        <v/>
      </c>
      <c r="AU29" s="71"/>
      <c r="AV29" s="6" t="str">
        <f>IF(AND(AR29&lt;&gt;"",AT29&lt;&gt;""),E29,"")</f>
        <v/>
      </c>
      <c r="AW29" s="40" t="str">
        <f>IF(AV29&lt;&gt;"",MIN(K29,$N$15)-MAX(K28,$N$14),"")</f>
        <v/>
      </c>
      <c r="AX29" s="36" t="str">
        <f>IF(AV29&lt;&gt;"",VLOOKUP(AV29,$E$29:$L$38,8,FALSE),"")</f>
        <v/>
      </c>
      <c r="AY29" s="6" t="str">
        <f>IF(AV29&lt;&gt;"",AW29*AX29,"")</f>
        <v/>
      </c>
      <c r="BA29" s="94" t="str">
        <f>IF(E29&lt;&gt;"",E29,"")</f>
        <v>Argile</v>
      </c>
      <c r="BB29" s="95"/>
      <c r="BC29" s="94" t="str">
        <f t="shared" ref="BC29:BC38" si="3">IF(AND(OR(K29&gt;$N$20,K29=$N$20),E29&lt;&gt;""),E29,"")</f>
        <v>Argile</v>
      </c>
      <c r="BD29" s="95"/>
      <c r="BE29" s="26" t="str">
        <f t="shared" ref="BE29:BE38" si="4">IF(AND(BA29&lt;&gt;"",BC29&lt;&gt;""),E29,"")</f>
        <v>Argile</v>
      </c>
      <c r="BF29" s="40">
        <f>IF(BE29&lt;&gt;"",MIN(K29,$G$20)-$N$20,"")</f>
        <v>2.5</v>
      </c>
      <c r="BG29" s="62">
        <f t="shared" ref="BG29:BG38" si="5">IF(BE29&lt;&gt;"",VLOOKUP(BE29,$E$29:$L$38,8,FALSE),"")</f>
        <v>1.2</v>
      </c>
      <c r="BH29" s="6">
        <f>IF(BE29&lt;&gt;"",BF29*BG29,"")</f>
        <v>3</v>
      </c>
      <c r="BJ29" s="6" t="s">
        <v>77</v>
      </c>
      <c r="BK29" s="9">
        <f>IF(G41&gt;5,BK27,BK28)</f>
        <v>1.1499999999999999</v>
      </c>
      <c r="BM29" s="77"/>
      <c r="BN29" s="90" t="str">
        <f>'Tableaux généraux'!Z26</f>
        <v>Sols intermédiaires</v>
      </c>
      <c r="BO29" s="90"/>
      <c r="BP29" s="9">
        <f>0.2+(G40-0.2)*(G41/5)</f>
        <v>1.6477999999999999</v>
      </c>
    </row>
    <row r="30" spans="1:68">
      <c r="D30" s="35">
        <v>2</v>
      </c>
      <c r="E30" s="91" t="s">
        <v>75</v>
      </c>
      <c r="F30" s="92"/>
      <c r="G30" s="91" t="s">
        <v>76</v>
      </c>
      <c r="H30" s="93"/>
      <c r="I30" s="92"/>
      <c r="J30" s="46">
        <v>6</v>
      </c>
      <c r="K30" s="47">
        <f t="shared" ref="K30:K32" si="6">IF(AND(J30&lt;&gt;"",J29&lt;&gt;""),K29+J30,"")</f>
        <v>13.5</v>
      </c>
      <c r="L30" s="48">
        <v>2.5</v>
      </c>
      <c r="M30" s="2" t="str">
        <f>IF(OR(G30="",E30="",J30="",L30=""),"",IF($K$8="Méthode pressiométrique (annexe F)",HLOOKUP(G30,'Tableaux - méthode pressio'!$AI$37:$AN$41,2,FALSE),IF($K$8="Méthode pénétrométrique (annexe G)",HLOOKUP(G30,'Tableaux - méthode pénétro'!$AH$37:$AM$41,2,FALSE))))</f>
        <v>Q1</v>
      </c>
      <c r="N30" s="49">
        <f>IF(OR(G30="",E30="",J30="",L30=""),"",IF($K$8="Méthode pressiométrique (annexe F)",HLOOKUP(G30,'Tableaux - méthode pressio'!$AI$37:$AN$41,3,FALSE),IF($K$8="Méthode pénétrométrique (annexe G)",HLOOKUP(G30,'Tableaux - méthode pénétro'!$AH$37:$AM$41,3,FALSE))))</f>
        <v>3.0000000000000001E-3</v>
      </c>
      <c r="O30" s="50">
        <f>IF(OR(G30="",E30="",J30="",L30=""),"",IF($K$8="Méthode pressiométrique (annexe F)",HLOOKUP(G30,'Tableaux - méthode pressio'!$AI$37:$AN$41,4,FALSE),IF($K$8="Méthode pénétrométrique (annexe G)",HLOOKUP(G30,'Tableaux - méthode pénétro'!$AH$37:$AM$41,4,FALSE))))</f>
        <v>0.04</v>
      </c>
      <c r="P30" s="50">
        <f>IF(OR(G30="",E30="",J30="",L30=""),"",IF($K$8="Méthode pressiométrique (annexe F)",HLOOKUP(G30,'Tableaux - méthode pressio'!$AI$37:$AN$41,5,FALSE),IF($K$8="Méthode pénétrométrique (annexe G)",HLOOKUP(G30,'Tableaux - méthode pénétro'!$AH$37:$AM$41,5,FALSE))))</f>
        <v>3.5</v>
      </c>
      <c r="Q30" s="53">
        <f t="shared" ref="Q30:Q38" si="7">IF(OR(L30="",G30="",E30="",J30=""),"",1000*(N30*L30+O30)*(1-EXP(-P30*L30)))</f>
        <v>47.492473087057</v>
      </c>
      <c r="R30" s="50">
        <f>IF(OR(G30="",E30="",J30="",L30=""),"",IF($K$8="Méthode pressiométrique (annexe F)",HLOOKUP(G30,'Tableaux - méthode pressio'!$AI$14:$AN$34,$G$13+1,FALSE),IF($K$8="Méthode pénétrométrique (annexe G)",HLOOKUP(G30,'Tableaux - méthode pénétro'!$AH$14:$AM$34,$G$13+1,FALSE))))</f>
        <v>1.25</v>
      </c>
      <c r="S30" s="53">
        <f t="shared" ref="S30:S38" si="8">IF(OR(L30="",G30="",E30="",J30=""),"",IF(R30="-","-",R30*Q30))</f>
        <v>59.365591358821199</v>
      </c>
      <c r="T30" s="54">
        <f>IF(OR(G30="",E30="",J30="",L30=""),"",HLOOKUP(G30,'Tableaux généraux'!$AG$3:$AL$23,$G$13+1,FALSE))</f>
        <v>90</v>
      </c>
      <c r="U30" s="53">
        <f t="shared" ref="U30:U38" si="9">IF(OR(L30="",G30="",E30="",J30=""),"",IF(OR(T30="-",S30="-"),S30,MIN(S30,T30)))</f>
        <v>59.365591358821199</v>
      </c>
      <c r="V30" s="53">
        <f t="shared" ref="V30:V38" si="10">IF(OR(L30="",G30="",E30="",J30=""),"",IF(U30="-","-",U30/($M$52*$M$53)))</f>
        <v>46.9293212322698</v>
      </c>
      <c r="W30" s="47">
        <f t="shared" ref="W30:W32" si="11">IF(J30="","",IF(IF((K29-$G$20)&gt;0,"",IF((K30-$G$20)&gt;0,J30-(K30-$G$20),J30))=0,"",IF((K29-$G$20)&gt;0,"",IF((K30-$G$20)&gt;0,J30-(K30-$G$20),J30))))</f>
        <v>6</v>
      </c>
      <c r="X30" s="55">
        <f t="shared" ref="X30:X32" si="12">IF(W30&lt;&gt;"",$G$23*W30,"")</f>
        <v>47.124000000000002</v>
      </c>
      <c r="Y30" s="60">
        <f t="shared" ref="Y30:Y32" si="13">IF(AND(V30&lt;&gt;"",V30&lt;&gt;"-",X30&lt;&gt;""),V30*X30,"")</f>
        <v>2211.4973337494798</v>
      </c>
      <c r="Z30" s="31"/>
      <c r="AA30" s="70" t="b">
        <f t="shared" ref="AA30:AA38" si="14">ISBLANK(E30)</f>
        <v>0</v>
      </c>
      <c r="AB30" s="71"/>
      <c r="AC30" s="70" t="b">
        <f t="shared" si="0"/>
        <v>0</v>
      </c>
      <c r="AD30" s="71"/>
      <c r="AE30" s="70" t="b">
        <f t="shared" si="1"/>
        <v>1</v>
      </c>
      <c r="AF30" s="71"/>
      <c r="AG30" s="70" t="b">
        <f>AE29=TRUE</f>
        <v>1</v>
      </c>
      <c r="AH30" s="71"/>
      <c r="AJ30" s="70" t="str">
        <f>IF(AND(K29&lt;$G$20,E30&lt;&gt;"",AJ29&lt;&gt;""),E30,"")</f>
        <v>Argile</v>
      </c>
      <c r="AK30" s="71"/>
      <c r="AL30" s="77" t="str">
        <f>IF(AND(AJ31="",AJ30&lt;&gt;"",AJ29&lt;&gt;""),"Sol d'ancrage","")</f>
        <v/>
      </c>
      <c r="AM30" s="77"/>
      <c r="AN30" s="77" t="str">
        <f t="shared" si="2"/>
        <v>Argile % CaCO3 &lt; 30 % Limon</v>
      </c>
      <c r="AO30" s="77"/>
      <c r="AP30" s="77"/>
      <c r="AR30" s="70" t="str">
        <f t="shared" ref="AR30:AR38" si="15">IF(AND(OR(K29&lt;$N$15,K29=$N$15),E30&lt;&gt;""),E30,"")</f>
        <v>Argile</v>
      </c>
      <c r="AS30" s="71"/>
      <c r="AT30" s="70" t="str">
        <f>IF(AND(OR(K30&gt;$N$14,K30=$N$14),E30&lt;&gt;""),E30,"")</f>
        <v/>
      </c>
      <c r="AU30" s="71"/>
      <c r="AV30" s="6" t="str">
        <f>IF(AND(AR30&lt;&gt;"",AT30&lt;&gt;""),E30,"")</f>
        <v/>
      </c>
      <c r="AW30" s="40" t="str">
        <f>IF(AV30&lt;&gt;"",MIN(K30,$N$15)-MAX(K29,$N$14),"")</f>
        <v/>
      </c>
      <c r="AX30" s="36" t="str">
        <f>IF(AV30&lt;&gt;"",VLOOKUP(AV30,$E$29:$L$38,8,FALSE),"")</f>
        <v/>
      </c>
      <c r="AY30" s="6" t="str">
        <f t="shared" ref="AY30:AY38" si="16">IF(AV30&lt;&gt;"",AW30*AX30,"")</f>
        <v/>
      </c>
      <c r="BA30" s="70" t="str">
        <f t="shared" ref="BA30:BA38" si="17">IF(AND(OR(K29&lt;$G$20,K29=$G$20),E30&lt;&gt;""),E30,"")</f>
        <v>Argile</v>
      </c>
      <c r="BB30" s="71"/>
      <c r="BC30" s="94" t="str">
        <f t="shared" si="3"/>
        <v>Argile</v>
      </c>
      <c r="BD30" s="95"/>
      <c r="BE30" s="26" t="str">
        <f t="shared" si="4"/>
        <v>Argile</v>
      </c>
      <c r="BF30" s="40">
        <f>IF(BE30&lt;&gt;"",MIN(K30,$G$20)-MAX(K29,$N$20),"")</f>
        <v>6</v>
      </c>
      <c r="BG30" s="36">
        <f t="shared" si="5"/>
        <v>1.2</v>
      </c>
      <c r="BH30" s="6">
        <f t="shared" ref="BH30:BH38" si="18">IF(BE30&lt;&gt;"",BF30*BG30,"")</f>
        <v>7.2</v>
      </c>
      <c r="BM30" s="77"/>
      <c r="BN30" s="90" t="str">
        <f>'Tableaux généraux'!Z27</f>
        <v>Sable Grave</v>
      </c>
      <c r="BO30" s="90"/>
      <c r="BP30" s="9">
        <f>0.1+(G40-0.1)*(G41/5)</f>
        <v>1.7001999999999999</v>
      </c>
    </row>
    <row r="31" spans="1:68">
      <c r="D31" s="35">
        <v>3</v>
      </c>
      <c r="E31" s="91" t="s">
        <v>78</v>
      </c>
      <c r="F31" s="92"/>
      <c r="G31" s="91" t="s">
        <v>76</v>
      </c>
      <c r="H31" s="93"/>
      <c r="I31" s="92"/>
      <c r="J31" s="46">
        <f>28-6</f>
        <v>22</v>
      </c>
      <c r="K31" s="47">
        <f t="shared" si="6"/>
        <v>35.5</v>
      </c>
      <c r="L31" s="48">
        <v>4</v>
      </c>
      <c r="M31" s="2" t="str">
        <f>IF(OR(G31="",E31="",J31="",L31=""),"",IF($K$8="Méthode pressiométrique (annexe F)",HLOOKUP(G31,'Tableaux - méthode pressio'!$AI$37:$AN$41,2,FALSE),IF($K$8="Méthode pénétrométrique (annexe G)",HLOOKUP(G31,'Tableaux - méthode pénétro'!$AH$37:$AM$41,2,FALSE))))</f>
        <v>Q1</v>
      </c>
      <c r="N31" s="49">
        <f>IF(OR(G31="",E31="",J31="",L31=""),"",IF($K$8="Méthode pressiométrique (annexe F)",HLOOKUP(G31,'Tableaux - méthode pressio'!$AI$37:$AN$41,3,FALSE),IF($K$8="Méthode pénétrométrique (annexe G)",HLOOKUP(G31,'Tableaux - méthode pénétro'!$AH$37:$AM$41,3,FALSE))))</f>
        <v>3.0000000000000001E-3</v>
      </c>
      <c r="O31" s="50">
        <f>IF(OR(G31="",E31="",J31="",L31=""),"",IF($K$8="Méthode pressiométrique (annexe F)",HLOOKUP(G31,'Tableaux - méthode pressio'!$AI$37:$AN$41,4,FALSE),IF($K$8="Méthode pénétrométrique (annexe G)",HLOOKUP(G31,'Tableaux - méthode pénétro'!$AH$37:$AM$41,4,FALSE))))</f>
        <v>0.04</v>
      </c>
      <c r="P31" s="50">
        <f>IF(OR(G31="",E31="",J31="",L31=""),"",IF($K$8="Méthode pressiométrique (annexe F)",HLOOKUP(G31,'Tableaux - méthode pressio'!$AI$37:$AN$41,5,FALSE),IF($K$8="Méthode pénétrométrique (annexe G)",HLOOKUP(G31,'Tableaux - méthode pénétro'!$AH$37:$AM$41,5,FALSE))))</f>
        <v>3.5</v>
      </c>
      <c r="Q31" s="53">
        <f t="shared" si="7"/>
        <v>51.999956760506599</v>
      </c>
      <c r="R31" s="50">
        <f>IF(OR(G31="",E31="",J31="",L31=""),"",IF($K$8="Méthode pressiométrique (annexe F)",HLOOKUP(G31,'Tableaux - méthode pressio'!$AI$14:$AN$34,$G$13+1,FALSE),IF($K$8="Méthode pénétrométrique (annexe G)",HLOOKUP(G31,'Tableaux - méthode pénétro'!$AH$14:$AM$34,$G$13+1,FALSE))))</f>
        <v>1.25</v>
      </c>
      <c r="S31" s="53">
        <f t="shared" si="8"/>
        <v>64.999945950633304</v>
      </c>
      <c r="T31" s="54">
        <f>IF(OR(G31="",E31="",J31="",L31=""),"",HLOOKUP(G31,'Tableaux généraux'!$AG$3:$AL$23,$G$13+1,FALSE))</f>
        <v>90</v>
      </c>
      <c r="U31" s="53">
        <f t="shared" si="9"/>
        <v>64.999945950633304</v>
      </c>
      <c r="V31" s="53">
        <f t="shared" si="10"/>
        <v>51.383356482713999</v>
      </c>
      <c r="W31" s="47">
        <f t="shared" si="11"/>
        <v>16.5</v>
      </c>
      <c r="X31" s="55">
        <f t="shared" si="12"/>
        <v>129.59100000000001</v>
      </c>
      <c r="Y31" s="60">
        <f t="shared" si="13"/>
        <v>6658.8205499513997</v>
      </c>
      <c r="Z31" s="31"/>
      <c r="AA31" s="70" t="b">
        <f t="shared" si="14"/>
        <v>0</v>
      </c>
      <c r="AB31" s="71"/>
      <c r="AC31" s="70" t="b">
        <f t="shared" si="0"/>
        <v>0</v>
      </c>
      <c r="AD31" s="71"/>
      <c r="AE31" s="70" t="b">
        <f t="shared" si="1"/>
        <v>1</v>
      </c>
      <c r="AF31" s="71"/>
      <c r="AG31" s="70" t="b">
        <f>AND(AE30=TRUE,AE29=TRUE)</f>
        <v>1</v>
      </c>
      <c r="AH31" s="71"/>
      <c r="AJ31" s="70" t="str">
        <f>IF(AND(K30&lt;$G$20,E31&lt;&gt;"",AJ30&lt;&gt;"",AJ29&lt;&gt;""),E31,"")</f>
        <v>Argile Compact</v>
      </c>
      <c r="AK31" s="71"/>
      <c r="AL31" s="77" t="str">
        <f>IF(AND(AJ32="",AJ31&lt;&gt;"",AJ30&lt;&gt;"",AJ29&lt;&gt;""),"Sol d'ancrage","")</f>
        <v>Sol d'ancrage</v>
      </c>
      <c r="AM31" s="77"/>
      <c r="AN31" s="77" t="str">
        <f t="shared" si="2"/>
        <v>Argile % CaCO3 &lt; 30 % Limon</v>
      </c>
      <c r="AO31" s="77"/>
      <c r="AP31" s="77"/>
      <c r="AR31" s="70" t="str">
        <f t="shared" si="15"/>
        <v>Argile Compact</v>
      </c>
      <c r="AS31" s="71"/>
      <c r="AT31" s="70" t="str">
        <f t="shared" ref="AT31:AT38" si="19">IF(AND(OR(K31&gt;$N$14,K31=$N$14),E31&lt;&gt;""),E31,"")</f>
        <v>Argile Compact</v>
      </c>
      <c r="AU31" s="71"/>
      <c r="AV31" s="6" t="str">
        <f t="shared" ref="AV31:AV38" si="20">IF(AND(AR31&lt;&gt;"",AT31&lt;&gt;""),E31,"")</f>
        <v>Argile Compact</v>
      </c>
      <c r="AW31" s="40">
        <f>IF(AV31&lt;&gt;"",MIN(K31,$N$15)-MAX(K30,$N$14),"")</f>
        <v>5</v>
      </c>
      <c r="AX31" s="36">
        <f t="shared" ref="AX31:AX38" si="21">IF(AV31&lt;&gt;"",VLOOKUP(AV31,$E$29:$L$38,8,FALSE),"")</f>
        <v>4</v>
      </c>
      <c r="AY31" s="6">
        <f>IF(AV31&lt;&gt;"",AW31*AX31,"")</f>
        <v>20</v>
      </c>
      <c r="BA31" s="70" t="str">
        <f t="shared" si="17"/>
        <v>Argile Compact</v>
      </c>
      <c r="BB31" s="71"/>
      <c r="BC31" s="94" t="str">
        <f t="shared" si="3"/>
        <v>Argile Compact</v>
      </c>
      <c r="BD31" s="95"/>
      <c r="BE31" s="26" t="str">
        <f t="shared" si="4"/>
        <v>Argile Compact</v>
      </c>
      <c r="BF31" s="40">
        <f>IF(BE31&lt;&gt;"",MIN(K31,$G$20)-MAX(K30,$N$20),"")</f>
        <v>16.5</v>
      </c>
      <c r="BG31" s="36">
        <f t="shared" si="5"/>
        <v>4</v>
      </c>
      <c r="BH31" s="6">
        <f>IF(BE31&lt;&gt;"",BF31*BG31,"")</f>
        <v>66</v>
      </c>
      <c r="BM31" s="77"/>
      <c r="BN31" s="90" t="str">
        <f>'Tableaux généraux'!Z28</f>
        <v>Craie</v>
      </c>
      <c r="BO31" s="90"/>
      <c r="BP31" s="9">
        <f>0.15+($G$40-0.15)*($G$41/5)</f>
        <v>1.6739999999999999</v>
      </c>
    </row>
    <row r="32" spans="1:68" ht="31.05" customHeight="1">
      <c r="D32" s="35">
        <v>4</v>
      </c>
      <c r="E32" s="91" t="s">
        <v>79</v>
      </c>
      <c r="F32" s="92"/>
      <c r="G32" s="91" t="s">
        <v>80</v>
      </c>
      <c r="H32" s="93"/>
      <c r="I32" s="92"/>
      <c r="J32" s="46">
        <v>16</v>
      </c>
      <c r="K32" s="47">
        <f t="shared" si="6"/>
        <v>51.5</v>
      </c>
      <c r="L32" s="48">
        <v>6</v>
      </c>
      <c r="M32" s="2" t="str">
        <f>IF(OR(G32="",E32="",J32="",L32=""),"",IF($K$8="Méthode pressiométrique (annexe F)",HLOOKUP(G32,'Tableaux - méthode pressio'!$AI$37:$AN$41,2,FALSE),IF($K$8="Méthode pénétrométrique (annexe G)",HLOOKUP(G32,'Tableaux - méthode pénétro'!$AH$37:$AM$41,2,FALSE))))</f>
        <v>Q4</v>
      </c>
      <c r="N32" s="49">
        <f>IF(OR(G32="",E32="",J32="",L32=""),"",IF($K$8="Méthode pressiométrique (annexe F)",HLOOKUP(G32,'Tableaux - méthode pressio'!$AI$37:$AN$41,3,FALSE),IF($K$8="Méthode pénétrométrique (annexe G)",HLOOKUP(G32,'Tableaux - méthode pénétro'!$AH$37:$AM$41,3,FALSE))))</f>
        <v>8.0000000000000002E-3</v>
      </c>
      <c r="O32" s="50">
        <f>IF(OR(G32="",E32="",J32="",L32=""),"",IF($K$8="Méthode pressiométrique (annexe F)",HLOOKUP(G32,'Tableaux - méthode pressio'!$AI$37:$AN$41,4,FALSE),IF($K$8="Méthode pénétrométrique (annexe G)",HLOOKUP(G32,'Tableaux - méthode pénétro'!$AH$37:$AM$41,4,FALSE))))</f>
        <v>0.08</v>
      </c>
      <c r="P32" s="50">
        <f>IF(OR(G32="",E32="",J32="",L32=""),"",IF($K$8="Méthode pressiométrique (annexe F)",HLOOKUP(G32,'Tableaux - méthode pressio'!$AI$37:$AN$41,5,FALSE),IF($K$8="Méthode pénétrométrique (annexe G)",HLOOKUP(G32,'Tableaux - méthode pénétro'!$AH$37:$AM$41,5,FALSE))))</f>
        <v>3</v>
      </c>
      <c r="Q32" s="53">
        <f t="shared" si="7"/>
        <v>127.99999805056299</v>
      </c>
      <c r="R32" s="50">
        <f>IF(OR(G32="",E32="",J32="",L32=""),"",IF($K$8="Méthode pressiométrique (annexe F)",HLOOKUP(G32,'Tableaux - méthode pressio'!$AI$14:$AN$34,$G$13+1,FALSE),IF($K$8="Méthode pénétrométrique (annexe G)",HLOOKUP(G32,'Tableaux - méthode pénétro'!$AH$14:$AM$34,$G$13+1,FALSE))))</f>
        <v>1.5</v>
      </c>
      <c r="S32" s="53">
        <f t="shared" si="8"/>
        <v>191.99999707584399</v>
      </c>
      <c r="T32" s="54">
        <f>IF(OR(G32="",E32="",J32="",L32=""),"",HLOOKUP(G32,'Tableaux généraux'!$AG$3:$AL$23,$G$13+1,FALSE))</f>
        <v>170</v>
      </c>
      <c r="U32" s="53">
        <f t="shared" si="9"/>
        <v>170</v>
      </c>
      <c r="V32" s="53">
        <f t="shared" si="10"/>
        <v>134.38735177865601</v>
      </c>
      <c r="W32" s="47" t="str">
        <f t="shared" si="11"/>
        <v/>
      </c>
      <c r="X32" s="55" t="str">
        <f t="shared" si="12"/>
        <v/>
      </c>
      <c r="Y32" s="60" t="str">
        <f t="shared" si="13"/>
        <v/>
      </c>
      <c r="Z32" s="31"/>
      <c r="AA32" s="70" t="b">
        <f t="shared" si="14"/>
        <v>0</v>
      </c>
      <c r="AB32" s="71"/>
      <c r="AC32" s="70" t="b">
        <f t="shared" si="0"/>
        <v>0</v>
      </c>
      <c r="AD32" s="71"/>
      <c r="AE32" s="70" t="b">
        <f t="shared" si="1"/>
        <v>1</v>
      </c>
      <c r="AF32" s="71"/>
      <c r="AG32" s="70" t="b">
        <f>AND(AE31=TRUE,AE30=TRUE,AE29=TRUE)</f>
        <v>1</v>
      </c>
      <c r="AH32" s="71"/>
      <c r="AJ32" s="70" t="str">
        <f>IF(AND(K31&lt;$G$20,E32&lt;&gt;"",AJ31&lt;&gt;"",AJ30&lt;&gt;"",AJ29&lt;&gt;""),E32,"")</f>
        <v/>
      </c>
      <c r="AK32" s="71"/>
      <c r="AL32" s="77" t="str">
        <f>IF(AND(AJ33="",AJ32&lt;&gt;"",AJ31&lt;&gt;"",AJ30&lt;&gt;"",AJ29&lt;&gt;""),"Sol d'ancrage","")</f>
        <v/>
      </c>
      <c r="AM32" s="77"/>
      <c r="AN32" s="77" t="str">
        <f t="shared" si="2"/>
        <v/>
      </c>
      <c r="AO32" s="77"/>
      <c r="AP32" s="77"/>
      <c r="AR32" s="70" t="str">
        <f t="shared" si="15"/>
        <v/>
      </c>
      <c r="AS32" s="71"/>
      <c r="AT32" s="70" t="str">
        <f t="shared" si="19"/>
        <v>Marne</v>
      </c>
      <c r="AU32" s="71"/>
      <c r="AV32" s="6" t="str">
        <f t="shared" si="20"/>
        <v/>
      </c>
      <c r="AW32" s="40" t="str">
        <f t="shared" ref="AW32:AW38" si="22">IF(AV32&lt;&gt;"",MIN(K32,$N$15)-MAX(K31,$N$14),"")</f>
        <v/>
      </c>
      <c r="AX32" s="36" t="str">
        <f t="shared" si="21"/>
        <v/>
      </c>
      <c r="AY32" s="6" t="str">
        <f t="shared" si="16"/>
        <v/>
      </c>
      <c r="BA32" s="70" t="str">
        <f t="shared" si="17"/>
        <v/>
      </c>
      <c r="BB32" s="71"/>
      <c r="BC32" s="94" t="str">
        <f t="shared" si="3"/>
        <v>Marne</v>
      </c>
      <c r="BD32" s="95"/>
      <c r="BE32" s="26" t="str">
        <f t="shared" si="4"/>
        <v/>
      </c>
      <c r="BF32" s="40" t="str">
        <f t="shared" ref="BF32:BF38" si="23">IF(BE32&lt;&gt;"",MIN(K32,$G$20)-MAX(K31,$N$20),"")</f>
        <v/>
      </c>
      <c r="BG32" s="36" t="str">
        <f t="shared" si="5"/>
        <v/>
      </c>
      <c r="BH32" s="6" t="str">
        <f t="shared" si="18"/>
        <v/>
      </c>
      <c r="BM32" s="77"/>
      <c r="BN32" s="90" t="str">
        <f>'Tableaux généraux'!Z29</f>
        <v>Marne et Calcaire-Marneux</v>
      </c>
      <c r="BO32" s="90"/>
      <c r="BP32" s="9">
        <f>0.15+($G$40-0.15)*($G$41/5)</f>
        <v>1.6739999999999999</v>
      </c>
    </row>
    <row r="33" spans="4:68">
      <c r="D33" s="35"/>
      <c r="E33" s="91"/>
      <c r="F33" s="92"/>
      <c r="G33" s="91"/>
      <c r="H33" s="93"/>
      <c r="I33" s="92"/>
      <c r="J33" s="46"/>
      <c r="K33" s="47" t="str">
        <f t="shared" ref="K33:K38" si="24">IF(AND(J33&lt;&gt;"",J32&lt;&gt;""),K32+J33,"")</f>
        <v/>
      </c>
      <c r="L33" s="48"/>
      <c r="M33" s="2" t="str">
        <f>IF(OR(G33="",E33="",J33="",L33=""),"",IF($K$8="Méthode pressiométrique (annexe F)",HLOOKUP(G33,'Tableaux - méthode pressio'!$AI$37:$AN$41,2,FALSE),IF($K$8="Méthode pénétrométrique (annexe G)",HLOOKUP(G33,'Tableaux - méthode pénétro'!$AH$37:$AM$41,2,FALSE))))</f>
        <v/>
      </c>
      <c r="N33" s="49" t="str">
        <f>IF(OR(G33="",E33="",J33="",L33=""),"",IF($K$8="Méthode pressiométrique (annexe F)",HLOOKUP(G33,'Tableaux - méthode pressio'!$AI$37:$AN$41,3,FALSE),IF($K$8="Méthode pénétrométrique (annexe G)",HLOOKUP(G33,'Tableaux - méthode pénétro'!$AH$37:$AM$41,3,FALSE))))</f>
        <v/>
      </c>
      <c r="O33" s="50" t="str">
        <f>IF(OR(G33="",E33="",J33="",L33=""),"",IF($K$8="Méthode pressiométrique (annexe F)",HLOOKUP(G33,'Tableaux - méthode pressio'!$AI$37:$AN$41,4,FALSE),IF($K$8="Méthode pénétrométrique (annexe G)",HLOOKUP(G33,'Tableaux - méthode pénétro'!$AH$37:$AM$41,4,FALSE))))</f>
        <v/>
      </c>
      <c r="P33" s="50" t="str">
        <f>IF(OR(G33="",E33="",J33="",L33=""),"",IF($K$8="Méthode pressiométrique (annexe F)",HLOOKUP(G33,'Tableaux - méthode pressio'!$AI$37:$AN$41,5,FALSE),IF($K$8="Méthode pénétrométrique (annexe G)",HLOOKUP(G33,'Tableaux - méthode pénétro'!$AH$37:$AM$41,5,FALSE))))</f>
        <v/>
      </c>
      <c r="Q33" s="53" t="str">
        <f t="shared" si="7"/>
        <v/>
      </c>
      <c r="R33" s="50" t="str">
        <f>IF(OR(G33="",E33="",J33="",L33=""),"",IF($K$8="Méthode pressiométrique (annexe F)",HLOOKUP(G33,'Tableaux - méthode pressio'!$AI$14:$AN$34,$G$13+1,FALSE),IF($K$8="Méthode pénétrométrique (annexe G)",HLOOKUP(G33,'Tableaux - méthode pénétro'!$AH$14:$AM$34,$G$13+1,FALSE))))</f>
        <v/>
      </c>
      <c r="S33" s="53" t="str">
        <f t="shared" si="8"/>
        <v/>
      </c>
      <c r="T33" s="54" t="str">
        <f>IF(OR(G33="",E33="",J33="",L33=""),"",HLOOKUP(G33,'Tableaux généraux'!$AG$3:$AL$23,$G$13+1,FALSE))</f>
        <v/>
      </c>
      <c r="U33" s="53" t="str">
        <f t="shared" si="9"/>
        <v/>
      </c>
      <c r="V33" s="53" t="str">
        <f t="shared" si="10"/>
        <v/>
      </c>
      <c r="W33" s="47" t="str">
        <f t="shared" ref="W33:W38" si="25">IF(J33="","",IF(IF((K32-$G$20)&gt;0,"",IF((K33-$G$20)&gt;0,J33-(K33-$G$20),J33))=0,"",IF((K32-$G$20)&gt;0,"",IF((K33-$G$20)&gt;0,J33-(K33-$G$20),J33))))</f>
        <v/>
      </c>
      <c r="X33" s="55" t="str">
        <f t="shared" ref="X33:X38" si="26">IF(W33&lt;&gt;"",$G$23*W33,"")</f>
        <v/>
      </c>
      <c r="Y33" s="60" t="str">
        <f t="shared" ref="Y33:Y38" si="27">IF(AND(V33&lt;&gt;"",V33&lt;&gt;"-",X33&lt;&gt;""),V33*X33,"")</f>
        <v/>
      </c>
      <c r="Z33" s="31"/>
      <c r="AA33" s="70" t="b">
        <f t="shared" si="14"/>
        <v>1</v>
      </c>
      <c r="AB33" s="71"/>
      <c r="AC33" s="70" t="b">
        <f t="shared" si="0"/>
        <v>1</v>
      </c>
      <c r="AD33" s="71"/>
      <c r="AE33" s="70" t="b">
        <f t="shared" si="1"/>
        <v>0</v>
      </c>
      <c r="AF33" s="71"/>
      <c r="AG33" s="70" t="b">
        <f>AND(AE32=TRUE,AE31=TRUE,AE30=TRUE,AE29=TRUE)</f>
        <v>1</v>
      </c>
      <c r="AH33" s="71"/>
      <c r="AJ33" s="70" t="str">
        <f>IF(AND(K32&lt;$G$20,E33&lt;&gt;"",AJ32&lt;&gt;"",AJ31&lt;&gt;"",AJ30&lt;&gt;"",AJ29&lt;&gt;""),E33,"")</f>
        <v/>
      </c>
      <c r="AK33" s="71"/>
      <c r="AL33" s="77" t="str">
        <f>IF(AND(AJ34="",AJ33&lt;&gt;"",AJ32&lt;&gt;"",AJ31&lt;&gt;"",AJ30&lt;&gt;"",AJ29&lt;&gt;""),"Sol d'ancrage","")</f>
        <v/>
      </c>
      <c r="AM33" s="77"/>
      <c r="AN33" s="77" t="str">
        <f t="shared" si="2"/>
        <v/>
      </c>
      <c r="AO33" s="77"/>
      <c r="AP33" s="77"/>
      <c r="AR33" s="70" t="str">
        <f t="shared" si="15"/>
        <v/>
      </c>
      <c r="AS33" s="71"/>
      <c r="AT33" s="70" t="str">
        <f t="shared" si="19"/>
        <v/>
      </c>
      <c r="AU33" s="71"/>
      <c r="AV33" s="6" t="str">
        <f t="shared" si="20"/>
        <v/>
      </c>
      <c r="AW33" s="40" t="str">
        <f t="shared" si="22"/>
        <v/>
      </c>
      <c r="AX33" s="36" t="str">
        <f t="shared" si="21"/>
        <v/>
      </c>
      <c r="AY33" s="6" t="str">
        <f t="shared" si="16"/>
        <v/>
      </c>
      <c r="BA33" s="70" t="str">
        <f t="shared" si="17"/>
        <v/>
      </c>
      <c r="BB33" s="71"/>
      <c r="BC33" s="94" t="str">
        <f t="shared" si="3"/>
        <v/>
      </c>
      <c r="BD33" s="95"/>
      <c r="BE33" s="26" t="str">
        <f t="shared" si="4"/>
        <v/>
      </c>
      <c r="BF33" s="40" t="str">
        <f t="shared" si="23"/>
        <v/>
      </c>
      <c r="BG33" s="36" t="str">
        <f t="shared" si="5"/>
        <v/>
      </c>
      <c r="BH33" s="6" t="str">
        <f t="shared" si="18"/>
        <v/>
      </c>
      <c r="BM33" s="77"/>
      <c r="BN33" s="90" t="str">
        <f>'Tableaux généraux'!Z30</f>
        <v>Roche altérée ou fragmentée</v>
      </c>
      <c r="BO33" s="90"/>
      <c r="BP33" s="9">
        <f>0.15+($G$40-0.15)*($G$41/5)</f>
        <v>1.6739999999999999</v>
      </c>
    </row>
    <row r="34" spans="4:68" ht="15">
      <c r="D34" s="35"/>
      <c r="E34" s="91"/>
      <c r="F34" s="92"/>
      <c r="G34" s="91"/>
      <c r="H34" s="93"/>
      <c r="I34" s="92"/>
      <c r="J34" s="46"/>
      <c r="K34" s="47" t="str">
        <f t="shared" si="24"/>
        <v/>
      </c>
      <c r="L34" s="48"/>
      <c r="M34" s="2" t="str">
        <f>IF(OR(G34="",E34="",J34="",L34=""),"",IF($K$8="Méthode pressiométrique (annexe F)",HLOOKUP(G34,'Tableaux - méthode pressio'!$AI$37:$AN$41,2,FALSE),IF($K$8="Méthode pénétrométrique (annexe G)",HLOOKUP(G34,'Tableaux - méthode pénétro'!$AH$37:$AM$41,2,FALSE))))</f>
        <v/>
      </c>
      <c r="N34" s="49" t="str">
        <f>IF(OR(G34="",E34="",J34="",L34=""),"",IF($K$8="Méthode pressiométrique (annexe F)",HLOOKUP(G34,'Tableaux - méthode pressio'!$AI$37:$AN$41,3,FALSE),IF($K$8="Méthode pénétrométrique (annexe G)",HLOOKUP(G34,'Tableaux - méthode pénétro'!$AH$37:$AM$41,3,FALSE))))</f>
        <v/>
      </c>
      <c r="O34" s="50" t="str">
        <f>IF(OR(G34="",E34="",J34="",L34=""),"",IF($K$8="Méthode pressiométrique (annexe F)",HLOOKUP(G34,'Tableaux - méthode pressio'!$AI$37:$AN$41,4,FALSE),IF($K$8="Méthode pénétrométrique (annexe G)",HLOOKUP(G34,'Tableaux - méthode pénétro'!$AH$37:$AM$41,4,FALSE))))</f>
        <v/>
      </c>
      <c r="P34" s="50" t="str">
        <f>IF(OR(G34="",E34="",J34="",L34=""),"",IF($K$8="Méthode pressiométrique (annexe F)",HLOOKUP(G34,'Tableaux - méthode pressio'!$AI$37:$AN$41,5,FALSE),IF($K$8="Méthode pénétrométrique (annexe G)",HLOOKUP(G34,'Tableaux - méthode pénétro'!$AH$37:$AM$41,5,FALSE))))</f>
        <v/>
      </c>
      <c r="Q34" s="53" t="str">
        <f t="shared" si="7"/>
        <v/>
      </c>
      <c r="R34" s="50" t="str">
        <f>IF(OR(G34="",E34="",J34="",L34=""),"",IF($K$8="Méthode pressiométrique (annexe F)",HLOOKUP(G34,'Tableaux - méthode pressio'!$AI$14:$AN$34,$G$13+1,FALSE),IF($K$8="Méthode pénétrométrique (annexe G)",HLOOKUP(G34,'Tableaux - méthode pénétro'!$AH$14:$AM$34,$G$13+1,FALSE))))</f>
        <v/>
      </c>
      <c r="S34" s="53" t="str">
        <f t="shared" si="8"/>
        <v/>
      </c>
      <c r="T34" s="54" t="str">
        <f>IF(OR(G34="",E34="",J34="",L34=""),"",HLOOKUP(G34,'Tableaux généraux'!$AG$3:$AL$23,$G$13+1,FALSE))</f>
        <v/>
      </c>
      <c r="U34" s="53" t="str">
        <f t="shared" si="9"/>
        <v/>
      </c>
      <c r="V34" s="53" t="str">
        <f t="shared" si="10"/>
        <v/>
      </c>
      <c r="W34" s="47" t="str">
        <f t="shared" si="25"/>
        <v/>
      </c>
      <c r="X34" s="55" t="str">
        <f t="shared" si="26"/>
        <v/>
      </c>
      <c r="Y34" s="60" t="str">
        <f t="shared" si="27"/>
        <v/>
      </c>
      <c r="Z34" s="31"/>
      <c r="AA34" s="70" t="b">
        <f t="shared" si="14"/>
        <v>1</v>
      </c>
      <c r="AB34" s="71"/>
      <c r="AC34" s="70" t="b">
        <f t="shared" si="0"/>
        <v>1</v>
      </c>
      <c r="AD34" s="71"/>
      <c r="AE34" s="70" t="b">
        <f t="shared" si="1"/>
        <v>0</v>
      </c>
      <c r="AF34" s="71"/>
      <c r="AG34" s="70" t="b">
        <f>AND(AE33=TRUE,AE32=TRUE,AE31=TRUE,AE30=TRUE,AE29=TRUE)</f>
        <v>0</v>
      </c>
      <c r="AH34" s="71"/>
      <c r="AJ34" s="70" t="str">
        <f>IF(AND(K33&lt;$G$20,E34&lt;&gt;"",AJ33&lt;&gt;"",AJ32&lt;&gt;"",AJ31&lt;&gt;"",AJ30&lt;&gt;"",AJ29&lt;&gt;""),E34,"")</f>
        <v/>
      </c>
      <c r="AK34" s="71"/>
      <c r="AL34" s="77" t="str">
        <f>IF(AND(AJ35="",AJ34&lt;&gt;"",AJ33&lt;&gt;"",AJ32&lt;&gt;"",AJ31&lt;&gt;"",AJ30&lt;&gt;"",AJ29&lt;&gt;""),"Sol d'ancrage","")</f>
        <v/>
      </c>
      <c r="AM34" s="77"/>
      <c r="AN34" s="77" t="str">
        <f t="shared" si="2"/>
        <v/>
      </c>
      <c r="AO34" s="77"/>
      <c r="AP34" s="77"/>
      <c r="AR34" s="70" t="str">
        <f t="shared" si="15"/>
        <v/>
      </c>
      <c r="AS34" s="71"/>
      <c r="AT34" s="70" t="str">
        <f t="shared" si="19"/>
        <v/>
      </c>
      <c r="AU34" s="71"/>
      <c r="AV34" s="6" t="str">
        <f t="shared" si="20"/>
        <v/>
      </c>
      <c r="AW34" s="40" t="str">
        <f t="shared" si="22"/>
        <v/>
      </c>
      <c r="AX34" s="36" t="str">
        <f t="shared" si="21"/>
        <v/>
      </c>
      <c r="AY34" s="6" t="str">
        <f t="shared" si="16"/>
        <v/>
      </c>
      <c r="BA34" s="70" t="str">
        <f t="shared" si="17"/>
        <v/>
      </c>
      <c r="BB34" s="71"/>
      <c r="BC34" s="94" t="str">
        <f t="shared" si="3"/>
        <v/>
      </c>
      <c r="BD34" s="95"/>
      <c r="BE34" s="26" t="str">
        <f t="shared" si="4"/>
        <v/>
      </c>
      <c r="BF34" s="40" t="str">
        <f t="shared" si="23"/>
        <v/>
      </c>
      <c r="BG34" s="36" t="str">
        <f t="shared" si="5"/>
        <v/>
      </c>
      <c r="BH34" s="6" t="str">
        <f t="shared" si="18"/>
        <v/>
      </c>
      <c r="BM34" s="6" t="s">
        <v>77</v>
      </c>
      <c r="BN34" s="89">
        <f>IF(G41&gt;5,BN27,VLOOKUP(L10,BN28:BP33,3,FALSE))</f>
        <v>1.1499999999999999</v>
      </c>
      <c r="BO34" s="89"/>
      <c r="BP34" s="89"/>
    </row>
    <row r="35" spans="4:68">
      <c r="D35" s="35"/>
      <c r="E35" s="91"/>
      <c r="F35" s="92"/>
      <c r="G35" s="91"/>
      <c r="H35" s="93"/>
      <c r="I35" s="92"/>
      <c r="J35" s="46"/>
      <c r="K35" s="47" t="str">
        <f t="shared" si="24"/>
        <v/>
      </c>
      <c r="L35" s="48"/>
      <c r="M35" s="2" t="str">
        <f>IF(OR(G35="",E35="",J35="",L35=""),"",IF($K$8="Méthode pressiométrique (annexe F)",HLOOKUP(G35,'Tableaux - méthode pressio'!$AI$37:$AN$41,2,FALSE),IF($K$8="Méthode pénétrométrique (annexe G)",HLOOKUP(G35,'Tableaux - méthode pénétro'!$AH$37:$AM$41,2,FALSE))))</f>
        <v/>
      </c>
      <c r="N35" s="49" t="str">
        <f>IF(OR(G35="",E35="",J35="",L35=""),"",IF($K$8="Méthode pressiométrique (annexe F)",HLOOKUP(G35,'Tableaux - méthode pressio'!$AI$37:$AN$41,3,FALSE),IF($K$8="Méthode pénétrométrique (annexe G)",HLOOKUP(G35,'Tableaux - méthode pénétro'!$AH$37:$AM$41,3,FALSE))))</f>
        <v/>
      </c>
      <c r="O35" s="50" t="str">
        <f>IF(OR(G35="",E35="",J35="",L35=""),"",IF($K$8="Méthode pressiométrique (annexe F)",HLOOKUP(G35,'Tableaux - méthode pressio'!$AI$37:$AN$41,4,FALSE),IF($K$8="Méthode pénétrométrique (annexe G)",HLOOKUP(G35,'Tableaux - méthode pénétro'!$AH$37:$AM$41,4,FALSE))))</f>
        <v/>
      </c>
      <c r="P35" s="50" t="str">
        <f>IF(OR(G35="",E35="",J35="",L35=""),"",IF($K$8="Méthode pressiométrique (annexe F)",HLOOKUP(G35,'Tableaux - méthode pressio'!$AI$37:$AN$41,5,FALSE),IF($K$8="Méthode pénétrométrique (annexe G)",HLOOKUP(G35,'Tableaux - méthode pénétro'!$AH$37:$AM$41,5,FALSE))))</f>
        <v/>
      </c>
      <c r="Q35" s="53" t="str">
        <f t="shared" si="7"/>
        <v/>
      </c>
      <c r="R35" s="50" t="str">
        <f>IF(OR(G35="",E35="",J35="",L35=""),"",IF($K$8="Méthode pressiométrique (annexe F)",HLOOKUP(G35,'Tableaux - méthode pressio'!$AI$14:$AN$34,$G$13+1,FALSE),IF($K$8="Méthode pénétrométrique (annexe G)",HLOOKUP(G35,'Tableaux - méthode pénétro'!$AH$14:$AM$34,$G$13+1,FALSE))))</f>
        <v/>
      </c>
      <c r="S35" s="53" t="str">
        <f t="shared" si="8"/>
        <v/>
      </c>
      <c r="T35" s="54" t="str">
        <f>IF(OR(G35="",E35="",J35="",L35=""),"",HLOOKUP(G35,'Tableaux généraux'!$AG$3:$AL$23,$G$13+1,FALSE))</f>
        <v/>
      </c>
      <c r="U35" s="53" t="str">
        <f t="shared" si="9"/>
        <v/>
      </c>
      <c r="V35" s="53" t="str">
        <f t="shared" si="10"/>
        <v/>
      </c>
      <c r="W35" s="47" t="str">
        <f t="shared" si="25"/>
        <v/>
      </c>
      <c r="X35" s="55" t="str">
        <f t="shared" si="26"/>
        <v/>
      </c>
      <c r="Y35" s="60" t="str">
        <f t="shared" si="27"/>
        <v/>
      </c>
      <c r="Z35" s="31"/>
      <c r="AA35" s="70" t="b">
        <f t="shared" si="14"/>
        <v>1</v>
      </c>
      <c r="AB35" s="71"/>
      <c r="AC35" s="70" t="b">
        <f t="shared" si="0"/>
        <v>1</v>
      </c>
      <c r="AD35" s="71"/>
      <c r="AE35" s="70" t="b">
        <f t="shared" si="1"/>
        <v>0</v>
      </c>
      <c r="AF35" s="71"/>
      <c r="AG35" s="70" t="b">
        <f>AND(AE34=TRUE,AE33=TRUE,AE32=TRUE,AE31=TRUE,AE30=TRUE,AE29=TRUE)</f>
        <v>0</v>
      </c>
      <c r="AH35" s="71"/>
      <c r="AJ35" s="70" t="str">
        <f>IF(AND(K34&lt;$G$20,E35&lt;&gt;"",AJ34&lt;&gt;"",AJ33&lt;&gt;"",AJ32&lt;&gt;"",AJ31&lt;&gt;"",AJ30&lt;&gt;"",AJ29&lt;&gt;""),E35,"")</f>
        <v/>
      </c>
      <c r="AK35" s="71"/>
      <c r="AL35" s="77" t="str">
        <f>IF(AND(AJ36="",AJ35&lt;&gt;"",AJ34&lt;&gt;"",AJ33&lt;&gt;"",AJ32&lt;&gt;"",AJ31&lt;&gt;"",AJ30&lt;&gt;"",AJ29&lt;&gt;""),"Sol d'ancrage","")</f>
        <v/>
      </c>
      <c r="AM35" s="77"/>
      <c r="AN35" s="77" t="str">
        <f t="shared" si="2"/>
        <v/>
      </c>
      <c r="AO35" s="77"/>
      <c r="AP35" s="77"/>
      <c r="AR35" s="70" t="str">
        <f t="shared" si="15"/>
        <v/>
      </c>
      <c r="AS35" s="71"/>
      <c r="AT35" s="70" t="str">
        <f t="shared" si="19"/>
        <v/>
      </c>
      <c r="AU35" s="71"/>
      <c r="AV35" s="6" t="str">
        <f t="shared" si="20"/>
        <v/>
      </c>
      <c r="AW35" s="40" t="str">
        <f t="shared" si="22"/>
        <v/>
      </c>
      <c r="AX35" s="36" t="str">
        <f t="shared" si="21"/>
        <v/>
      </c>
      <c r="AY35" s="6" t="str">
        <f t="shared" si="16"/>
        <v/>
      </c>
      <c r="BA35" s="70" t="str">
        <f t="shared" si="17"/>
        <v/>
      </c>
      <c r="BB35" s="71"/>
      <c r="BC35" s="94" t="str">
        <f t="shared" si="3"/>
        <v/>
      </c>
      <c r="BD35" s="95"/>
      <c r="BE35" s="26" t="str">
        <f t="shared" si="4"/>
        <v/>
      </c>
      <c r="BF35" s="40" t="str">
        <f t="shared" si="23"/>
        <v/>
      </c>
      <c r="BG35" s="36" t="str">
        <f t="shared" si="5"/>
        <v/>
      </c>
      <c r="BH35" s="6" t="str">
        <f t="shared" si="18"/>
        <v/>
      </c>
    </row>
    <row r="36" spans="4:68">
      <c r="D36" s="35"/>
      <c r="E36" s="91"/>
      <c r="F36" s="92"/>
      <c r="G36" s="91"/>
      <c r="H36" s="93"/>
      <c r="I36" s="92"/>
      <c r="J36" s="46"/>
      <c r="K36" s="47" t="str">
        <f t="shared" si="24"/>
        <v/>
      </c>
      <c r="L36" s="48"/>
      <c r="M36" s="2" t="str">
        <f>IF(OR(G36="",E36="",J36="",L36=""),"",IF($K$8="Méthode pressiométrique (annexe F)",HLOOKUP(G36,'Tableaux - méthode pressio'!$AI$37:$AN$41,2,FALSE),IF($K$8="Méthode pénétrométrique (annexe G)",HLOOKUP(G36,'Tableaux - méthode pénétro'!$AH$37:$AM$41,2,FALSE))))</f>
        <v/>
      </c>
      <c r="N36" s="49" t="str">
        <f>IF(OR(G36="",E36="",J36="",L36=""),"",IF($K$8="Méthode pressiométrique (annexe F)",HLOOKUP(G36,'Tableaux - méthode pressio'!$AI$37:$AN$41,3,FALSE),IF($K$8="Méthode pénétrométrique (annexe G)",HLOOKUP(G36,'Tableaux - méthode pénétro'!$AH$37:$AM$41,3,FALSE))))</f>
        <v/>
      </c>
      <c r="O36" s="50" t="str">
        <f>IF(OR(G36="",E36="",J36="",L36=""),"",IF($K$8="Méthode pressiométrique (annexe F)",HLOOKUP(G36,'Tableaux - méthode pressio'!$AI$37:$AN$41,4,FALSE),IF($K$8="Méthode pénétrométrique (annexe G)",HLOOKUP(G36,'Tableaux - méthode pénétro'!$AH$37:$AM$41,4,FALSE))))</f>
        <v/>
      </c>
      <c r="P36" s="50" t="str">
        <f>IF(OR(G36="",E36="",J36="",L36=""),"",IF($K$8="Méthode pressiométrique (annexe F)",HLOOKUP(G36,'Tableaux - méthode pressio'!$AI$37:$AN$41,5,FALSE),IF($K$8="Méthode pénétrométrique (annexe G)",HLOOKUP(G36,'Tableaux - méthode pénétro'!$AH$37:$AM$41,5,FALSE))))</f>
        <v/>
      </c>
      <c r="Q36" s="53" t="str">
        <f t="shared" si="7"/>
        <v/>
      </c>
      <c r="R36" s="50" t="str">
        <f>IF(OR(G36="",E36="",J36="",L36=""),"",IF($K$8="Méthode pressiométrique (annexe F)",HLOOKUP(G36,'Tableaux - méthode pressio'!$AI$14:$AN$34,$G$13+1,FALSE),IF($K$8="Méthode pénétrométrique (annexe G)",HLOOKUP(G36,'Tableaux - méthode pénétro'!$AH$14:$AM$34,$G$13+1,FALSE))))</f>
        <v/>
      </c>
      <c r="S36" s="53" t="str">
        <f t="shared" si="8"/>
        <v/>
      </c>
      <c r="T36" s="54" t="str">
        <f>IF(OR(G36="",E36="",J36="",L36=""),"",HLOOKUP(G36,'Tableaux généraux'!$AG$3:$AL$23,$G$13+1,FALSE))</f>
        <v/>
      </c>
      <c r="U36" s="53" t="str">
        <f t="shared" si="9"/>
        <v/>
      </c>
      <c r="V36" s="53" t="str">
        <f t="shared" si="10"/>
        <v/>
      </c>
      <c r="W36" s="47" t="str">
        <f t="shared" si="25"/>
        <v/>
      </c>
      <c r="X36" s="55" t="str">
        <f t="shared" si="26"/>
        <v/>
      </c>
      <c r="Y36" s="60" t="str">
        <f t="shared" si="27"/>
        <v/>
      </c>
      <c r="Z36" s="31"/>
      <c r="AA36" s="70" t="b">
        <f t="shared" si="14"/>
        <v>1</v>
      </c>
      <c r="AB36" s="71"/>
      <c r="AC36" s="70" t="b">
        <f t="shared" si="0"/>
        <v>1</v>
      </c>
      <c r="AD36" s="71"/>
      <c r="AE36" s="70" t="b">
        <f t="shared" si="1"/>
        <v>0</v>
      </c>
      <c r="AF36" s="71"/>
      <c r="AG36" s="70" t="b">
        <f>AND(AE35=TRUE,AE34=TRUE,AE33=TRUE,AE32=TRUE,AE31=TRUE,AE30=TRUE,AE29=TRUE)</f>
        <v>0</v>
      </c>
      <c r="AH36" s="71"/>
      <c r="AJ36" s="70" t="str">
        <f>IF(AND(K35&lt;$G$20,E36&lt;&gt;"",AJ35&lt;&gt;"",AJ34&lt;&gt;"",AJ33&lt;&gt;"",AJ32&lt;&gt;"",AJ31&lt;&gt;"",AJ30&lt;&gt;"",AJ29&lt;&gt;""),E36,"")</f>
        <v/>
      </c>
      <c r="AK36" s="71"/>
      <c r="AL36" s="77" t="str">
        <f>IF(AND(AJ37="",AJ36&lt;&gt;"",AJ35&lt;&gt;"",AJ34&lt;&gt;"",AJ33&lt;&gt;"",AJ32&lt;&gt;"",AJ31&lt;&gt;"",AJ30&lt;&gt;"",AJ29&lt;&gt;""),"Sol d'ancrage","")</f>
        <v/>
      </c>
      <c r="AM36" s="77"/>
      <c r="AN36" s="77" t="str">
        <f t="shared" si="2"/>
        <v/>
      </c>
      <c r="AO36" s="77"/>
      <c r="AP36" s="77"/>
      <c r="AR36" s="70" t="str">
        <f t="shared" si="15"/>
        <v/>
      </c>
      <c r="AS36" s="71"/>
      <c r="AT36" s="70" t="str">
        <f t="shared" si="19"/>
        <v/>
      </c>
      <c r="AU36" s="71"/>
      <c r="AV36" s="6" t="str">
        <f t="shared" si="20"/>
        <v/>
      </c>
      <c r="AW36" s="40" t="str">
        <f t="shared" si="22"/>
        <v/>
      </c>
      <c r="AX36" s="36" t="str">
        <f t="shared" si="21"/>
        <v/>
      </c>
      <c r="AY36" s="6" t="str">
        <f t="shared" si="16"/>
        <v/>
      </c>
      <c r="BA36" s="70" t="str">
        <f t="shared" si="17"/>
        <v/>
      </c>
      <c r="BB36" s="71"/>
      <c r="BC36" s="94" t="str">
        <f t="shared" si="3"/>
        <v/>
      </c>
      <c r="BD36" s="95"/>
      <c r="BE36" s="26" t="str">
        <f t="shared" si="4"/>
        <v/>
      </c>
      <c r="BF36" s="40" t="str">
        <f t="shared" si="23"/>
        <v/>
      </c>
      <c r="BG36" s="36" t="str">
        <f t="shared" si="5"/>
        <v/>
      </c>
      <c r="BH36" s="6" t="str">
        <f t="shared" si="18"/>
        <v/>
      </c>
    </row>
    <row r="37" spans="4:68">
      <c r="D37" s="35"/>
      <c r="E37" s="91"/>
      <c r="F37" s="92"/>
      <c r="G37" s="91"/>
      <c r="H37" s="93"/>
      <c r="I37" s="92"/>
      <c r="J37" s="46"/>
      <c r="K37" s="47" t="str">
        <f t="shared" si="24"/>
        <v/>
      </c>
      <c r="L37" s="48"/>
      <c r="M37" s="2" t="str">
        <f>IF(OR(G37="",E37="",J37="",L37=""),"",IF($K$8="Méthode pressiométrique (annexe F)",HLOOKUP(G37,'Tableaux - méthode pressio'!$AI$37:$AN$41,2,FALSE),IF($K$8="Méthode pénétrométrique (annexe G)",HLOOKUP(G37,'Tableaux - méthode pénétro'!$AH$37:$AM$41,2,FALSE))))</f>
        <v/>
      </c>
      <c r="N37" s="49" t="str">
        <f>IF(OR(G37="",E37="",J37="",L37=""),"",IF($K$8="Méthode pressiométrique (annexe F)",HLOOKUP(G37,'Tableaux - méthode pressio'!$AI$37:$AN$41,3,FALSE),IF($K$8="Méthode pénétrométrique (annexe G)",HLOOKUP(G37,'Tableaux - méthode pénétro'!$AH$37:$AM$41,3,FALSE))))</f>
        <v/>
      </c>
      <c r="O37" s="50" t="str">
        <f>IF(OR(G37="",E37="",J37="",L37=""),"",IF($K$8="Méthode pressiométrique (annexe F)",HLOOKUP(G37,'Tableaux - méthode pressio'!$AI$37:$AN$41,4,FALSE),IF($K$8="Méthode pénétrométrique (annexe G)",HLOOKUP(G37,'Tableaux - méthode pénétro'!$AH$37:$AM$41,4,FALSE))))</f>
        <v/>
      </c>
      <c r="P37" s="50" t="str">
        <f>IF(OR(G37="",E37="",J37="",L37=""),"",IF($K$8="Méthode pressiométrique (annexe F)",HLOOKUP(G37,'Tableaux - méthode pressio'!$AI$37:$AN$41,5,FALSE),IF($K$8="Méthode pénétrométrique (annexe G)",HLOOKUP(G37,'Tableaux - méthode pénétro'!$AH$37:$AM$41,5,FALSE))))</f>
        <v/>
      </c>
      <c r="Q37" s="53" t="str">
        <f t="shared" si="7"/>
        <v/>
      </c>
      <c r="R37" s="50" t="str">
        <f>IF(OR(G37="",E37="",J37="",L37=""),"",IF($K$8="Méthode pressiométrique (annexe F)",HLOOKUP(G37,'Tableaux - méthode pressio'!$AI$14:$AN$34,$G$13+1,FALSE),IF($K$8="Méthode pénétrométrique (annexe G)",HLOOKUP(G37,'Tableaux - méthode pénétro'!$AH$14:$AM$34,$G$13+1,FALSE))))</f>
        <v/>
      </c>
      <c r="S37" s="53" t="str">
        <f t="shared" si="8"/>
        <v/>
      </c>
      <c r="T37" s="54" t="str">
        <f>IF(OR(G37="",E37="",J37="",L37=""),"",HLOOKUP(G37,'Tableaux généraux'!$AG$3:$AL$23,$G$13+1,FALSE))</f>
        <v/>
      </c>
      <c r="U37" s="53" t="str">
        <f t="shared" si="9"/>
        <v/>
      </c>
      <c r="V37" s="53" t="str">
        <f t="shared" si="10"/>
        <v/>
      </c>
      <c r="W37" s="47" t="str">
        <f t="shared" si="25"/>
        <v/>
      </c>
      <c r="X37" s="55" t="str">
        <f t="shared" si="26"/>
        <v/>
      </c>
      <c r="Y37" s="60" t="str">
        <f t="shared" si="27"/>
        <v/>
      </c>
      <c r="Z37" s="31"/>
      <c r="AA37" s="70" t="b">
        <f t="shared" si="14"/>
        <v>1</v>
      </c>
      <c r="AB37" s="71"/>
      <c r="AC37" s="70" t="b">
        <f t="shared" si="0"/>
        <v>1</v>
      </c>
      <c r="AD37" s="71"/>
      <c r="AE37" s="70" t="b">
        <f t="shared" si="1"/>
        <v>0</v>
      </c>
      <c r="AF37" s="71"/>
      <c r="AG37" s="70" t="b">
        <f>AND(AE36=TRUE,AE35=TRUE,AE34=TRUE,AE33=TRUE,AE32=TRUE,AE31=TRUE,AE30=TRUE,AE29=TRUE)</f>
        <v>0</v>
      </c>
      <c r="AH37" s="71"/>
      <c r="AJ37" s="70" t="str">
        <f>IF(AND(K36&lt;$G$20,E37&lt;&gt;"",AJ36&lt;&gt;"",AJ35&lt;&gt;"",AJ34&lt;&gt;"",AJ33&lt;&gt;"",AJ32&lt;&gt;"",AJ31&lt;&gt;"",AJ30&lt;&gt;"",AJ29&lt;&gt;""),E37,"")</f>
        <v/>
      </c>
      <c r="AK37" s="71"/>
      <c r="AL37" s="77" t="str">
        <f>IF(AND(AJ38="",AJ37&lt;&gt;"",AJ36&lt;&gt;"",AJ35&lt;&gt;"",AJ34&lt;&gt;"",AJ33&lt;&gt;"",AJ32&lt;&gt;"",AJ31&lt;&gt;"",AJ30&lt;&gt;"",AJ29&lt;&gt;""),"Sol d'ancrage","")</f>
        <v/>
      </c>
      <c r="AM37" s="77"/>
      <c r="AN37" s="77" t="str">
        <f t="shared" si="2"/>
        <v/>
      </c>
      <c r="AO37" s="77"/>
      <c r="AP37" s="77"/>
      <c r="AR37" s="70" t="str">
        <f t="shared" si="15"/>
        <v/>
      </c>
      <c r="AS37" s="71"/>
      <c r="AT37" s="70" t="str">
        <f t="shared" si="19"/>
        <v/>
      </c>
      <c r="AU37" s="71"/>
      <c r="AV37" s="6" t="str">
        <f t="shared" si="20"/>
        <v/>
      </c>
      <c r="AW37" s="40" t="str">
        <f t="shared" si="22"/>
        <v/>
      </c>
      <c r="AX37" s="36" t="str">
        <f t="shared" si="21"/>
        <v/>
      </c>
      <c r="AY37" s="6" t="str">
        <f t="shared" si="16"/>
        <v/>
      </c>
      <c r="BA37" s="70" t="str">
        <f t="shared" si="17"/>
        <v/>
      </c>
      <c r="BB37" s="71"/>
      <c r="BC37" s="94" t="str">
        <f t="shared" si="3"/>
        <v/>
      </c>
      <c r="BD37" s="95"/>
      <c r="BE37" s="26" t="str">
        <f t="shared" si="4"/>
        <v/>
      </c>
      <c r="BF37" s="40" t="str">
        <f t="shared" si="23"/>
        <v/>
      </c>
      <c r="BG37" s="36" t="str">
        <f t="shared" si="5"/>
        <v/>
      </c>
      <c r="BH37" s="6" t="str">
        <f t="shared" si="18"/>
        <v/>
      </c>
    </row>
    <row r="38" spans="4:68">
      <c r="D38" s="35"/>
      <c r="E38" s="91"/>
      <c r="F38" s="92"/>
      <c r="G38" s="91"/>
      <c r="H38" s="93"/>
      <c r="I38" s="92"/>
      <c r="J38" s="46"/>
      <c r="K38" s="47" t="str">
        <f t="shared" si="24"/>
        <v/>
      </c>
      <c r="L38" s="48"/>
      <c r="M38" s="2" t="str">
        <f>IF(OR(G38="",E38="",J38="",L38=""),"",IF($K$8="Méthode pressiométrique (annexe F)",HLOOKUP(G38,'Tableaux - méthode pressio'!$AI$37:$AN$41,2,FALSE),IF($K$8="Méthode pénétrométrique (annexe G)",HLOOKUP(G38,'Tableaux - méthode pénétro'!$AH$37:$AM$41,2,FALSE))))</f>
        <v/>
      </c>
      <c r="N38" s="49" t="str">
        <f>IF(OR(G38="",E38="",J38="",L38=""),"",IF($K$8="Méthode pressiométrique (annexe F)",HLOOKUP(G38,'Tableaux - méthode pressio'!$AI$37:$AN$41,3,FALSE),IF($K$8="Méthode pénétrométrique (annexe G)",HLOOKUP(G38,'Tableaux - méthode pénétro'!$AH$37:$AM$41,3,FALSE))))</f>
        <v/>
      </c>
      <c r="O38" s="50" t="str">
        <f>IF(OR(G38="",E38="",J38="",L38=""),"",IF($K$8="Méthode pressiométrique (annexe F)",HLOOKUP(G38,'Tableaux - méthode pressio'!$AI$37:$AN$41,4,FALSE),IF($K$8="Méthode pénétrométrique (annexe G)",HLOOKUP(G38,'Tableaux - méthode pénétro'!$AH$37:$AM$41,4,FALSE))))</f>
        <v/>
      </c>
      <c r="P38" s="50" t="str">
        <f>IF(OR(G38="",E38="",J38="",L38=""),"",IF($K$8="Méthode pressiométrique (annexe F)",HLOOKUP(G38,'Tableaux - méthode pressio'!$AI$37:$AN$41,5,FALSE),IF($K$8="Méthode pénétrométrique (annexe G)",HLOOKUP(G38,'Tableaux - méthode pénétro'!$AH$37:$AM$41,5,FALSE))))</f>
        <v/>
      </c>
      <c r="Q38" s="53" t="str">
        <f t="shared" si="7"/>
        <v/>
      </c>
      <c r="R38" s="50" t="str">
        <f>IF(OR(G38="",E38="",J38="",L38=""),"",IF($K$8="Méthode pressiométrique (annexe F)",HLOOKUP(G38,'Tableaux - méthode pressio'!$AI$14:$AN$34,$G$13+1,FALSE),IF($K$8="Méthode pénétrométrique (annexe G)",HLOOKUP(G38,'Tableaux - méthode pénétro'!$AH$14:$AM$34,$G$13+1,FALSE))))</f>
        <v/>
      </c>
      <c r="S38" s="53" t="str">
        <f t="shared" si="8"/>
        <v/>
      </c>
      <c r="T38" s="54" t="str">
        <f>IF(OR(G38="",E38="",J38="",L38=""),"",HLOOKUP(G38,'Tableaux généraux'!$AG$3:$AL$23,$G$13+1,FALSE))</f>
        <v/>
      </c>
      <c r="U38" s="53" t="str">
        <f t="shared" si="9"/>
        <v/>
      </c>
      <c r="V38" s="53" t="str">
        <f t="shared" si="10"/>
        <v/>
      </c>
      <c r="W38" s="47" t="str">
        <f t="shared" si="25"/>
        <v/>
      </c>
      <c r="X38" s="55" t="str">
        <f t="shared" si="26"/>
        <v/>
      </c>
      <c r="Y38" s="60" t="str">
        <f t="shared" si="27"/>
        <v/>
      </c>
      <c r="Z38" s="31"/>
      <c r="AA38" s="70" t="b">
        <f t="shared" si="14"/>
        <v>1</v>
      </c>
      <c r="AB38" s="71"/>
      <c r="AC38" s="70" t="b">
        <f t="shared" si="0"/>
        <v>1</v>
      </c>
      <c r="AD38" s="71"/>
      <c r="AE38" s="70" t="b">
        <f t="shared" si="1"/>
        <v>0</v>
      </c>
      <c r="AF38" s="71"/>
      <c r="AG38" s="70" t="b">
        <f>AND(AE37=TRUE,AE36=TRUE,AE35=TRUE,AE34=TRUE,AE33=TRUE,AE32=TRUE,AE31=TRUE,AE30=TRUE,AE29=TRUE)</f>
        <v>0</v>
      </c>
      <c r="AH38" s="71"/>
      <c r="AJ38" s="70" t="str">
        <f>IF(AND(K37&lt;$G$20,E38&lt;&gt;"",AJ37&lt;&gt;"",AJ36&lt;&gt;"",AJ35&lt;&gt;"",AJ34&lt;&gt;"",AJ33&lt;&gt;"",AJ32&lt;&gt;"",AJ31&lt;&gt;"",AJ30&lt;&gt;"",AJ29&lt;&gt;""),E38,"")</f>
        <v/>
      </c>
      <c r="AK38" s="71"/>
      <c r="AL38" s="77" t="str">
        <f>IF(AND(AJ39="",AJ38&lt;&gt;"",AJ37&lt;&gt;"",AJ36&lt;&gt;"",AJ35&lt;&gt;"",AJ34&lt;&gt;"",AJ33&lt;&gt;"",AJ32&lt;&gt;"",AJ31&lt;&gt;"",AJ30&lt;&gt;"",AJ29&lt;&gt;""),"Sol d'ancrage","")</f>
        <v/>
      </c>
      <c r="AM38" s="77"/>
      <c r="AN38" s="77" t="str">
        <f t="shared" si="2"/>
        <v/>
      </c>
      <c r="AO38" s="77"/>
      <c r="AP38" s="77"/>
      <c r="AR38" s="70" t="str">
        <f t="shared" si="15"/>
        <v/>
      </c>
      <c r="AS38" s="71"/>
      <c r="AT38" s="70" t="str">
        <f t="shared" si="19"/>
        <v/>
      </c>
      <c r="AU38" s="71"/>
      <c r="AV38" s="6" t="str">
        <f t="shared" si="20"/>
        <v/>
      </c>
      <c r="AW38" s="40" t="str">
        <f t="shared" si="22"/>
        <v/>
      </c>
      <c r="AX38" s="36" t="str">
        <f t="shared" si="21"/>
        <v/>
      </c>
      <c r="AY38" s="6" t="str">
        <f t="shared" si="16"/>
        <v/>
      </c>
      <c r="BA38" s="70" t="str">
        <f t="shared" si="17"/>
        <v/>
      </c>
      <c r="BB38" s="71"/>
      <c r="BC38" s="94" t="str">
        <f t="shared" si="3"/>
        <v/>
      </c>
      <c r="BD38" s="95"/>
      <c r="BE38" s="26" t="str">
        <f t="shared" si="4"/>
        <v/>
      </c>
      <c r="BF38" s="40" t="str">
        <f t="shared" si="23"/>
        <v/>
      </c>
      <c r="BG38" s="36" t="str">
        <f t="shared" si="5"/>
        <v/>
      </c>
      <c r="BH38" s="6" t="str">
        <f t="shared" si="18"/>
        <v/>
      </c>
    </row>
    <row r="39" spans="4:68" ht="15" customHeight="1">
      <c r="D39" s="31"/>
      <c r="E39" s="31"/>
      <c r="F39" s="31"/>
      <c r="G39" s="31"/>
      <c r="H39" s="31"/>
      <c r="I39" s="31"/>
      <c r="J39" s="31"/>
      <c r="K39" s="31"/>
      <c r="L39" s="31"/>
      <c r="M39" s="31"/>
      <c r="N39" s="31"/>
      <c r="O39" s="31"/>
      <c r="P39" s="31"/>
      <c r="Q39" s="31"/>
      <c r="R39" s="31"/>
      <c r="S39" s="31"/>
      <c r="T39" s="31"/>
      <c r="U39" s="31"/>
      <c r="V39" s="31"/>
      <c r="W39" s="31"/>
      <c r="X39" s="31"/>
      <c r="Y39" s="31"/>
      <c r="Z39" s="31"/>
    </row>
    <row r="40" spans="4:68" ht="15" customHeight="1">
      <c r="D40" s="78" t="str">
        <f>IF(Calculs!K8="Méthode pressiométrique (annexe F)","Valeur max du facteur de portance : kpmax",IF(Calculs!K8="Méthode pénétrométrique (annexe G)","Valeur max du facteur de portance : kcmax"))</f>
        <v>Valeur max du facteur de portance : kpmax</v>
      </c>
      <c r="E40" s="79"/>
      <c r="F40" s="80"/>
      <c r="G40" s="9">
        <f>IF(OR(L10="-",L10=""),"-",IF(G12='Tableaux généraux'!B21,"-",IF(K8="Méthode pressiométrique (annexe F)",HLOOKUP(L10,'Tableaux - méthode pressio'!AI3:AN11,G12+1,FALSE),IF(K8="Méthode pénétrométrique (annexe G)",HLOOKUP(L10,'Tableaux - méthode pénétro'!AH3:AM11,G12+1,FALSE)))))</f>
        <v>1.1499999999999999</v>
      </c>
      <c r="I40" s="31"/>
      <c r="J40" s="96" t="s">
        <v>81</v>
      </c>
      <c r="K40" s="96"/>
      <c r="L40" s="96"/>
      <c r="M40" s="96"/>
      <c r="N40" s="31"/>
      <c r="O40" s="97" t="s">
        <v>82</v>
      </c>
      <c r="P40" s="97"/>
      <c r="Q40" s="97"/>
      <c r="R40" s="97"/>
      <c r="S40" s="97"/>
      <c r="T40" s="56" t="s">
        <v>83</v>
      </c>
      <c r="U40" s="98">
        <f>IF(G44="-","-",IF(G16="OUI",1000*G22*G44,0))</f>
        <v>17850.909090909099</v>
      </c>
      <c r="V40" s="98"/>
      <c r="W40" s="31"/>
      <c r="X40" s="31"/>
      <c r="Y40" s="31"/>
      <c r="Z40" s="31"/>
    </row>
    <row r="41" spans="4:68" ht="15" customHeight="1">
      <c r="D41" s="78" t="s">
        <v>84</v>
      </c>
      <c r="E41" s="79"/>
      <c r="F41" s="80"/>
      <c r="G41" s="9">
        <f>IF(OR(G19="",G19=0,N23="-"),"-",N23/(G19/1000))</f>
        <v>7.62</v>
      </c>
      <c r="I41" s="31"/>
      <c r="J41" s="99" t="s">
        <v>85</v>
      </c>
      <c r="K41" s="100"/>
      <c r="L41" s="99" t="s">
        <v>86</v>
      </c>
      <c r="M41" s="100"/>
      <c r="N41" s="31"/>
      <c r="O41" s="97" t="s">
        <v>87</v>
      </c>
      <c r="P41" s="97"/>
      <c r="Q41" s="97"/>
      <c r="R41" s="97"/>
      <c r="S41" s="97"/>
      <c r="T41" s="56" t="s">
        <v>88</v>
      </c>
      <c r="U41" s="98">
        <f>SUM(Y29:Y38)</f>
        <v>11370.0663914738</v>
      </c>
      <c r="V41" s="98"/>
      <c r="W41" s="31"/>
      <c r="X41" s="31"/>
      <c r="Y41" s="31"/>
      <c r="Z41" s="31"/>
    </row>
    <row r="42" spans="4:68" ht="15" customHeight="1">
      <c r="D42" s="78" t="str">
        <f>IF(Calculs!K8="Méthode pressiométrique (annexe F)","Facteur de portance pressiométrique : kp",IF(Calculs!K8="Méthode pénétrométrique (annexe G)","Facteur de portance pénétrométrique : kc"))</f>
        <v>Facteur de portance pressiométrique : kp</v>
      </c>
      <c r="E42" s="79"/>
      <c r="F42" s="80"/>
      <c r="G42" s="9">
        <f>IF(K8="Méthode pressiométrique (annexe F)",BK29,IF(K8="Méthode pénétrométrique (annexe G)",BN34))</f>
        <v>1.1499999999999999</v>
      </c>
      <c r="I42" s="51" t="s">
        <v>89</v>
      </c>
      <c r="J42" s="101">
        <v>1.1000000000000001</v>
      </c>
      <c r="K42" s="102"/>
      <c r="L42" s="101">
        <v>1</v>
      </c>
      <c r="M42" s="102"/>
      <c r="N42" s="31"/>
      <c r="X42" s="31"/>
      <c r="Y42" s="31"/>
      <c r="Z42" s="31"/>
    </row>
    <row r="43" spans="4:68" ht="15" customHeight="1">
      <c r="D43" s="78" t="s">
        <v>90</v>
      </c>
      <c r="E43" s="79"/>
      <c r="F43" s="80"/>
      <c r="G43" s="36">
        <f>IF(OR(G42="-",N17="-"),"-",G42*N17)</f>
        <v>4.5999999999999996</v>
      </c>
      <c r="I43" s="51" t="s">
        <v>91</v>
      </c>
      <c r="J43" s="101">
        <v>1.1000000000000001</v>
      </c>
      <c r="K43" s="102"/>
      <c r="L43" s="101">
        <v>1</v>
      </c>
      <c r="M43" s="102"/>
      <c r="N43" s="31"/>
      <c r="O43" s="97" t="s">
        <v>92</v>
      </c>
      <c r="P43" s="97"/>
      <c r="Q43" s="97"/>
      <c r="R43" s="97"/>
      <c r="S43" s="97"/>
      <c r="T43" s="56" t="s">
        <v>93</v>
      </c>
      <c r="U43" s="98">
        <f>IF(U40="-","-",IF(G15="Compression",U41+U40,"-"))</f>
        <v>29220.975482382899</v>
      </c>
      <c r="V43" s="98"/>
      <c r="X43" s="31"/>
      <c r="Y43" s="31"/>
      <c r="Z43" s="31"/>
    </row>
    <row r="44" spans="4:68" ht="15" customHeight="1">
      <c r="D44" s="78" t="s">
        <v>94</v>
      </c>
      <c r="E44" s="79"/>
      <c r="F44" s="80"/>
      <c r="G44" s="36">
        <f>IF(G43="-","-",G43/(M52*M53))</f>
        <v>3.6363636363636398</v>
      </c>
      <c r="I44" s="51" t="s">
        <v>95</v>
      </c>
      <c r="J44" s="101">
        <v>1.1000000000000001</v>
      </c>
      <c r="K44" s="102"/>
      <c r="L44" s="101">
        <v>1</v>
      </c>
      <c r="M44" s="102"/>
      <c r="N44" s="31"/>
      <c r="O44" s="103" t="s">
        <v>96</v>
      </c>
      <c r="P44" s="104"/>
      <c r="Q44" s="104"/>
      <c r="R44" s="104"/>
      <c r="S44" s="105"/>
      <c r="T44" s="30" t="s">
        <v>97</v>
      </c>
      <c r="U44" s="106" t="str">
        <f>IF(G15="Traction",U41,"-")</f>
        <v>-</v>
      </c>
      <c r="V44" s="107"/>
      <c r="X44" s="31"/>
      <c r="Y44" s="31"/>
      <c r="Z44" s="31"/>
    </row>
    <row r="45" spans="4:68" ht="15" customHeight="1">
      <c r="I45" s="51" t="s">
        <v>98</v>
      </c>
      <c r="J45" s="101">
        <v>1.1499999999999999</v>
      </c>
      <c r="K45" s="102"/>
      <c r="L45" s="101">
        <v>1.05</v>
      </c>
      <c r="M45" s="102"/>
      <c r="N45" s="31"/>
      <c r="O45" s="103" t="s">
        <v>99</v>
      </c>
      <c r="P45" s="104"/>
      <c r="Q45" s="104"/>
      <c r="R45" s="104"/>
      <c r="S45" s="105"/>
      <c r="T45" s="30" t="s">
        <v>100</v>
      </c>
      <c r="U45" s="106">
        <f>IF(U40="-","-",IF(G15="Compression",IF(G17="NON",0.5*U40+0.7*U41,IF(G17="OUI",0.7*U40+0.7*U41)),"-"))</f>
        <v>16884.501019486201</v>
      </c>
      <c r="V45" s="107"/>
      <c r="X45" s="31"/>
      <c r="Y45" s="31"/>
      <c r="Z45" s="31"/>
    </row>
    <row r="46" spans="4:68" ht="15" customHeight="1">
      <c r="I46" s="31"/>
      <c r="J46" s="31"/>
      <c r="K46" s="31"/>
      <c r="L46" s="31"/>
      <c r="M46" s="31"/>
      <c r="O46" s="103" t="s">
        <v>101</v>
      </c>
      <c r="P46" s="104"/>
      <c r="Q46" s="104"/>
      <c r="R46" s="104"/>
      <c r="S46" s="105"/>
      <c r="T46" s="56" t="s">
        <v>102</v>
      </c>
      <c r="U46" s="106" t="str">
        <f>IF(G15="Traction",0.7*U41,"-")</f>
        <v>-</v>
      </c>
      <c r="V46" s="107"/>
      <c r="X46" s="31"/>
      <c r="Y46" s="31"/>
      <c r="Z46" s="31"/>
    </row>
    <row r="47" spans="4:68" ht="15" customHeight="1">
      <c r="I47" s="31"/>
      <c r="J47" s="96" t="s">
        <v>103</v>
      </c>
      <c r="K47" s="96"/>
      <c r="L47" s="96"/>
      <c r="M47" s="96"/>
      <c r="X47" s="10"/>
      <c r="Y47" s="31"/>
    </row>
    <row r="48" spans="4:68" ht="15" customHeight="1">
      <c r="I48" s="31"/>
      <c r="J48" s="99" t="s">
        <v>104</v>
      </c>
      <c r="K48" s="100"/>
      <c r="L48" s="99" t="s">
        <v>105</v>
      </c>
      <c r="M48" s="100"/>
      <c r="O48" s="131" t="s">
        <v>106</v>
      </c>
      <c r="P48" s="132"/>
      <c r="Q48" s="108" t="s">
        <v>107</v>
      </c>
      <c r="R48" s="109"/>
      <c r="S48" s="110"/>
      <c r="T48" s="57" t="s">
        <v>108</v>
      </c>
      <c r="U48" s="111">
        <f>IF(U43="-","-",U43/J44)</f>
        <v>26564.523165802599</v>
      </c>
      <c r="V48" s="112"/>
      <c r="W48" s="58"/>
      <c r="Z48" s="61"/>
      <c r="AA48" s="61"/>
    </row>
    <row r="49" spans="4:27" ht="15" customHeight="1">
      <c r="I49" s="51" t="s">
        <v>109</v>
      </c>
      <c r="J49" s="101">
        <v>0.9</v>
      </c>
      <c r="K49" s="102"/>
      <c r="L49" s="101">
        <v>1.1000000000000001</v>
      </c>
      <c r="M49" s="102"/>
      <c r="O49" s="133"/>
      <c r="P49" s="134"/>
      <c r="Q49" s="103" t="s">
        <v>110</v>
      </c>
      <c r="R49" s="104"/>
      <c r="S49" s="105"/>
      <c r="T49" s="30" t="s">
        <v>111</v>
      </c>
      <c r="U49" s="113" t="str">
        <f>IF(U44="-","-",U44/J45)</f>
        <v>-</v>
      </c>
      <c r="V49" s="114"/>
      <c r="W49" s="58"/>
      <c r="Z49" s="61"/>
    </row>
    <row r="50" spans="4:27" ht="15" customHeight="1">
      <c r="I50" s="51" t="s">
        <v>113</v>
      </c>
      <c r="J50" s="101">
        <v>1.1000000000000001</v>
      </c>
      <c r="K50" s="102"/>
      <c r="L50" s="101">
        <v>1.5</v>
      </c>
      <c r="M50" s="102"/>
      <c r="O50" s="135" t="s">
        <v>114</v>
      </c>
      <c r="P50" s="136"/>
      <c r="Q50" s="103" t="s">
        <v>107</v>
      </c>
      <c r="R50" s="104"/>
      <c r="S50" s="105"/>
      <c r="T50" s="56" t="s">
        <v>108</v>
      </c>
      <c r="U50" s="113">
        <f>IF(U43="-","-",U43/L44)</f>
        <v>29220.975482382899</v>
      </c>
      <c r="V50" s="114"/>
      <c r="W50" s="58"/>
      <c r="Z50" s="61"/>
      <c r="AA50" s="61"/>
    </row>
    <row r="51" spans="4:27" ht="15" customHeight="1">
      <c r="I51" s="31"/>
      <c r="J51" s="31"/>
      <c r="K51" s="31"/>
      <c r="L51" s="31"/>
      <c r="M51" s="31"/>
      <c r="O51" s="133"/>
      <c r="P51" s="134"/>
      <c r="Q51" s="103" t="s">
        <v>110</v>
      </c>
      <c r="R51" s="104"/>
      <c r="S51" s="105"/>
      <c r="T51" s="30" t="s">
        <v>111</v>
      </c>
      <c r="U51" s="113" t="str">
        <f>IF(U44="-","-",U44/L45)</f>
        <v>-</v>
      </c>
      <c r="V51" s="114"/>
      <c r="W51" s="58"/>
      <c r="Z51" s="61"/>
    </row>
    <row r="52" spans="4:27" ht="15">
      <c r="I52" s="78" t="s">
        <v>115</v>
      </c>
      <c r="J52" s="79"/>
      <c r="K52" s="80"/>
      <c r="L52" s="51" t="s">
        <v>116</v>
      </c>
      <c r="M52" s="9">
        <f>IF($K$8="Méthode pressiométrique (annexe F)",VLOOKUP($G$13,'Tableaux - méthode pressio'!$AQ$6:$AS$25,2,FALSE),IF($K$8="Méthode pénétrométrique (annexe G)",VLOOKUP($G$13,'Tableaux - méthode pressio'!$AQ$6:$AS$25,2,FALSE)))</f>
        <v>1.1499999999999999</v>
      </c>
      <c r="O52" s="135" t="s">
        <v>117</v>
      </c>
      <c r="P52" s="136"/>
      <c r="Q52" s="103" t="s">
        <v>118</v>
      </c>
      <c r="R52" s="104"/>
      <c r="S52" s="105"/>
      <c r="T52" s="56" t="s">
        <v>119</v>
      </c>
      <c r="U52" s="113">
        <f>IF(U45="-","-",U45/J49)</f>
        <v>18760.556688318</v>
      </c>
      <c r="V52" s="114"/>
      <c r="W52" s="58"/>
      <c r="Z52" s="61"/>
      <c r="AA52" s="61"/>
    </row>
    <row r="53" spans="4:27" ht="15">
      <c r="I53" s="78" t="s">
        <v>120</v>
      </c>
      <c r="J53" s="79"/>
      <c r="K53" s="80"/>
      <c r="L53" s="51" t="s">
        <v>121</v>
      </c>
      <c r="M53" s="9">
        <f>IF($K$8="Méthode pressiométrique (annexe F)",VLOOKUP($G$13,'Tableaux - méthode pénétro'!$AP$6:$AR$25,3,FALSE),IF($K$8="Méthode pénétrométrique (annexe G)",VLOOKUP($G$13,'Tableaux - méthode pénétro'!$AP$6:$AR$25,3,FALSE)))</f>
        <v>1.1000000000000001</v>
      </c>
      <c r="O53" s="133"/>
      <c r="P53" s="134"/>
      <c r="Q53" s="103" t="s">
        <v>122</v>
      </c>
      <c r="R53" s="104"/>
      <c r="S53" s="105"/>
      <c r="T53" s="56" t="s">
        <v>123</v>
      </c>
      <c r="U53" s="113" t="str">
        <f>IF(U46="-","-",U46/J50)</f>
        <v>-</v>
      </c>
      <c r="V53" s="114"/>
      <c r="W53" s="58"/>
      <c r="Z53" s="61"/>
    </row>
    <row r="54" spans="4:27" ht="15">
      <c r="D54" s="31"/>
      <c r="E54" s="31"/>
      <c r="F54" s="31"/>
      <c r="G54" s="31"/>
      <c r="H54" s="31"/>
      <c r="I54" s="31"/>
      <c r="O54" s="135" t="s">
        <v>124</v>
      </c>
      <c r="P54" s="136"/>
      <c r="Q54" s="103" t="s">
        <v>118</v>
      </c>
      <c r="R54" s="104"/>
      <c r="S54" s="105"/>
      <c r="T54" s="56" t="s">
        <v>119</v>
      </c>
      <c r="U54" s="113">
        <f>IF(U45="-","-",U45/L49)</f>
        <v>15349.546381351091</v>
      </c>
      <c r="V54" s="114"/>
      <c r="W54" s="58"/>
      <c r="Z54" s="61"/>
      <c r="AA54" s="61"/>
    </row>
    <row r="55" spans="4:27" ht="15">
      <c r="D55" s="31"/>
      <c r="E55" s="31"/>
      <c r="F55" s="31"/>
      <c r="G55" s="31"/>
      <c r="H55" s="31"/>
      <c r="I55" s="31"/>
      <c r="O55" s="137"/>
      <c r="P55" s="138"/>
      <c r="Q55" s="115" t="s">
        <v>122</v>
      </c>
      <c r="R55" s="116"/>
      <c r="S55" s="117"/>
      <c r="T55" s="59" t="s">
        <v>123</v>
      </c>
      <c r="U55" s="118" t="str">
        <f>IF(U46="-","-",U46/L50)</f>
        <v>-</v>
      </c>
      <c r="V55" s="119"/>
      <c r="W55" s="58"/>
      <c r="X55" s="31"/>
      <c r="Y55" s="31"/>
      <c r="Z55" s="31"/>
    </row>
    <row r="56" spans="4:27">
      <c r="D56" s="31"/>
      <c r="E56" s="31"/>
      <c r="F56" s="31"/>
      <c r="G56" s="31"/>
      <c r="H56" s="31"/>
      <c r="I56" s="31"/>
      <c r="W56" s="31"/>
      <c r="X56" s="31"/>
      <c r="Y56" s="31"/>
      <c r="Z56" s="31"/>
    </row>
    <row r="57" spans="4:27">
      <c r="D57" s="31"/>
      <c r="E57" s="31"/>
      <c r="F57" s="31"/>
      <c r="G57" s="31"/>
      <c r="H57" s="31"/>
      <c r="I57" s="31"/>
      <c r="W57" s="31"/>
      <c r="X57" s="31"/>
      <c r="Y57" s="31"/>
      <c r="Z57" s="31"/>
    </row>
    <row r="58" spans="4:27">
      <c r="D58" s="31"/>
      <c r="E58" s="31"/>
      <c r="F58" s="31"/>
      <c r="G58" s="31"/>
      <c r="H58" s="31"/>
      <c r="I58" s="31"/>
      <c r="W58" s="31"/>
      <c r="X58" s="31"/>
      <c r="Y58" s="31"/>
      <c r="Z58" s="31"/>
    </row>
    <row r="59" spans="4:27">
      <c r="D59" s="31"/>
      <c r="E59" s="31"/>
      <c r="F59" s="31"/>
      <c r="G59" s="31"/>
      <c r="H59" s="31"/>
      <c r="I59" s="31"/>
      <c r="W59" s="31"/>
      <c r="X59" s="31"/>
      <c r="Y59" s="31"/>
      <c r="Z59" s="31"/>
    </row>
    <row r="60" spans="4:27">
      <c r="D60" s="31"/>
      <c r="E60" s="31"/>
      <c r="F60" s="31"/>
      <c r="G60" s="31"/>
      <c r="H60" s="31"/>
      <c r="I60" s="31"/>
      <c r="X60" s="31"/>
      <c r="Y60" s="31"/>
      <c r="Z60" s="31"/>
    </row>
    <row r="61" spans="4:27">
      <c r="D61" s="31"/>
      <c r="E61" s="31"/>
      <c r="F61" s="31"/>
      <c r="G61" s="31"/>
      <c r="H61" s="31"/>
      <c r="I61" s="31"/>
      <c r="X61" s="31"/>
      <c r="Y61" s="31"/>
      <c r="Z61" s="31"/>
    </row>
    <row r="62" spans="4:27">
      <c r="D62" s="31"/>
      <c r="E62" s="31"/>
      <c r="F62" s="31"/>
      <c r="G62" s="31"/>
      <c r="H62" s="31"/>
      <c r="I62" s="31"/>
      <c r="X62" s="31"/>
      <c r="Y62" s="31"/>
      <c r="Z62" s="31"/>
    </row>
    <row r="63" spans="4:27">
      <c r="D63" s="31"/>
      <c r="E63" s="31"/>
      <c r="F63" s="31"/>
      <c r="G63" s="31"/>
      <c r="H63" s="31"/>
      <c r="I63" s="31"/>
      <c r="X63" s="31"/>
      <c r="Y63" s="31"/>
      <c r="Z63" s="31"/>
    </row>
    <row r="64" spans="4:27">
      <c r="D64" s="31"/>
      <c r="E64" s="31"/>
      <c r="F64" s="31"/>
      <c r="G64" s="31"/>
      <c r="H64" s="31"/>
      <c r="I64" s="31"/>
      <c r="X64" s="31"/>
      <c r="Y64" s="31"/>
      <c r="Z64" s="31"/>
    </row>
    <row r="65" spans="4:26">
      <c r="D65" s="31"/>
      <c r="E65" s="31"/>
      <c r="F65" s="31"/>
      <c r="G65" s="31"/>
      <c r="H65" s="31"/>
      <c r="I65" s="31"/>
      <c r="X65" s="31"/>
      <c r="Y65" s="31"/>
      <c r="Z65" s="31"/>
    </row>
    <row r="66" spans="4:26">
      <c r="D66" s="31"/>
      <c r="E66" s="31"/>
      <c r="F66" s="31"/>
      <c r="G66" s="31"/>
      <c r="H66" s="31"/>
      <c r="I66" s="31"/>
      <c r="X66" s="31"/>
      <c r="Y66" s="31"/>
      <c r="Z66" s="31"/>
    </row>
    <row r="67" spans="4:26">
      <c r="D67" s="31"/>
      <c r="E67" s="31"/>
      <c r="F67" s="31"/>
      <c r="G67" s="31"/>
      <c r="H67" s="31"/>
      <c r="I67" s="31"/>
      <c r="R67" s="31"/>
      <c r="S67" s="31"/>
      <c r="T67" s="31"/>
      <c r="U67" s="31"/>
      <c r="V67" s="31"/>
      <c r="W67" s="31"/>
      <c r="X67" s="31"/>
      <c r="Y67" s="31"/>
      <c r="Z67" s="31"/>
    </row>
    <row r="68" spans="4:26">
      <c r="D68" s="31"/>
      <c r="E68" s="31"/>
      <c r="F68" s="31"/>
      <c r="G68" s="31"/>
      <c r="H68" s="31"/>
      <c r="I68" s="31"/>
      <c r="R68" s="31"/>
      <c r="S68" s="31"/>
      <c r="T68" s="31"/>
      <c r="U68" s="31"/>
      <c r="V68" s="31"/>
      <c r="W68" s="31"/>
      <c r="X68" s="31"/>
      <c r="Y68" s="31"/>
      <c r="Z68" s="31"/>
    </row>
    <row r="69" spans="4:26">
      <c r="D69" s="31"/>
      <c r="E69" s="31"/>
      <c r="F69" s="31"/>
      <c r="G69" s="31"/>
      <c r="H69" s="31"/>
      <c r="I69" s="31"/>
      <c r="R69" s="31"/>
      <c r="S69" s="31"/>
      <c r="T69" s="31"/>
      <c r="U69" s="31"/>
      <c r="V69" s="31"/>
      <c r="W69" s="31"/>
      <c r="X69" s="31"/>
      <c r="Y69" s="31"/>
      <c r="Z69" s="31"/>
    </row>
    <row r="70" spans="4:26">
      <c r="D70" s="31"/>
      <c r="E70" s="31"/>
      <c r="F70" s="31"/>
      <c r="G70" s="31"/>
      <c r="H70" s="31"/>
      <c r="I70" s="31"/>
      <c r="R70" s="31"/>
      <c r="S70" s="31"/>
      <c r="T70" s="31"/>
      <c r="U70" s="31"/>
      <c r="V70" s="31"/>
      <c r="W70" s="31"/>
      <c r="X70" s="31"/>
      <c r="Y70" s="31"/>
      <c r="Z70" s="31"/>
    </row>
    <row r="71" spans="4:26">
      <c r="D71" s="31"/>
      <c r="E71" s="31"/>
      <c r="F71" s="31"/>
      <c r="G71" s="31"/>
      <c r="H71" s="31"/>
      <c r="I71" s="31"/>
      <c r="R71" s="31"/>
      <c r="S71" s="31"/>
      <c r="T71" s="31"/>
      <c r="U71" s="31"/>
      <c r="V71" s="31"/>
      <c r="W71" s="31"/>
      <c r="X71" s="31"/>
      <c r="Y71" s="31"/>
      <c r="Z71" s="31"/>
    </row>
    <row r="72" spans="4:26">
      <c r="D72" s="31"/>
      <c r="E72" s="31"/>
      <c r="F72" s="31"/>
      <c r="G72" s="31"/>
      <c r="H72" s="31"/>
      <c r="I72" s="31"/>
      <c r="J72" s="31"/>
      <c r="K72" s="31"/>
      <c r="L72" s="31"/>
      <c r="M72" s="31"/>
      <c r="N72" s="31"/>
      <c r="O72" s="31"/>
      <c r="P72" s="31"/>
      <c r="Q72" s="31"/>
      <c r="R72" s="31"/>
      <c r="S72" s="31"/>
      <c r="T72" s="31"/>
      <c r="U72" s="31"/>
      <c r="V72" s="31"/>
      <c r="W72" s="31"/>
      <c r="X72" s="31"/>
      <c r="Y72" s="31"/>
      <c r="Z72" s="31"/>
    </row>
    <row r="73" spans="4:26">
      <c r="D73" s="31"/>
      <c r="E73" s="31"/>
      <c r="F73" s="31"/>
      <c r="G73" s="31"/>
      <c r="H73" s="31"/>
      <c r="I73" s="31"/>
      <c r="J73" s="31"/>
      <c r="K73" s="31"/>
      <c r="L73" s="31"/>
      <c r="M73" s="31"/>
      <c r="N73" s="31"/>
      <c r="O73" s="31"/>
      <c r="P73" s="31"/>
      <c r="Q73" s="31"/>
      <c r="R73" s="31"/>
      <c r="S73" s="31"/>
      <c r="T73" s="31"/>
      <c r="U73" s="31"/>
      <c r="V73" s="31"/>
      <c r="W73" s="31"/>
      <c r="X73" s="31"/>
      <c r="Y73" s="31"/>
      <c r="Z73" s="31"/>
    </row>
    <row r="74" spans="4:26">
      <c r="D74" s="31"/>
      <c r="E74" s="31"/>
      <c r="F74" s="31"/>
      <c r="G74" s="31"/>
      <c r="H74" s="31"/>
      <c r="I74" s="31"/>
      <c r="J74" s="31"/>
      <c r="K74" s="31"/>
      <c r="L74" s="31"/>
      <c r="M74" s="31"/>
      <c r="N74" s="31"/>
      <c r="O74" s="31"/>
      <c r="P74" s="31"/>
      <c r="Q74" s="31"/>
      <c r="R74" s="31"/>
      <c r="S74" s="31"/>
      <c r="T74" s="31"/>
      <c r="U74" s="31"/>
      <c r="V74" s="31"/>
      <c r="W74" s="31"/>
      <c r="X74" s="31"/>
      <c r="Y74" s="31"/>
      <c r="Z74" s="31"/>
    </row>
    <row r="75" spans="4:26">
      <c r="D75" s="31"/>
      <c r="E75" s="31"/>
      <c r="F75" s="31"/>
      <c r="G75" s="31"/>
      <c r="H75" s="31"/>
      <c r="I75" s="31"/>
      <c r="J75" s="31"/>
      <c r="K75" s="31"/>
      <c r="L75" s="31"/>
      <c r="M75" s="31"/>
      <c r="N75" s="31"/>
      <c r="O75" s="31"/>
      <c r="P75" s="31"/>
      <c r="Q75" s="31"/>
      <c r="R75" s="31"/>
      <c r="S75" s="31"/>
      <c r="T75" s="31"/>
      <c r="U75" s="31"/>
      <c r="V75" s="31"/>
      <c r="W75" s="31"/>
      <c r="X75" s="31"/>
      <c r="Y75" s="31"/>
      <c r="Z75" s="31"/>
    </row>
    <row r="76" spans="4:26">
      <c r="D76" s="31"/>
      <c r="E76" s="31"/>
      <c r="F76" s="31"/>
      <c r="G76" s="31"/>
      <c r="H76" s="31"/>
      <c r="I76" s="31"/>
      <c r="J76" s="31"/>
      <c r="K76" s="31"/>
      <c r="L76" s="31"/>
      <c r="M76" s="31"/>
      <c r="N76" s="31"/>
      <c r="O76" s="31"/>
      <c r="P76" s="31"/>
      <c r="Q76" s="31"/>
      <c r="R76" s="31"/>
      <c r="S76" s="31"/>
      <c r="T76" s="31"/>
      <c r="U76" s="31"/>
      <c r="V76" s="31"/>
      <c r="W76" s="31"/>
      <c r="X76" s="31"/>
      <c r="Y76" s="31"/>
      <c r="Z76" s="31"/>
    </row>
    <row r="77" spans="4:26">
      <c r="D77" s="31"/>
      <c r="E77" s="31"/>
      <c r="F77" s="31"/>
      <c r="G77" s="31"/>
      <c r="H77" s="31"/>
      <c r="I77" s="31"/>
      <c r="J77" s="31"/>
      <c r="K77" s="31"/>
      <c r="L77" s="31"/>
      <c r="M77" s="31"/>
      <c r="N77" s="31"/>
      <c r="O77" s="31"/>
      <c r="P77" s="31"/>
      <c r="Q77" s="31"/>
      <c r="R77" s="31"/>
      <c r="S77" s="31"/>
      <c r="T77" s="31"/>
      <c r="U77" s="31"/>
      <c r="V77" s="31"/>
      <c r="W77" s="31"/>
      <c r="X77" s="31"/>
      <c r="Y77" s="31"/>
      <c r="Z77" s="31"/>
    </row>
    <row r="78" spans="4:26">
      <c r="D78" s="31"/>
      <c r="E78" s="31"/>
      <c r="F78" s="31"/>
      <c r="G78" s="31"/>
      <c r="H78" s="31"/>
      <c r="I78" s="31"/>
      <c r="J78" s="31"/>
      <c r="K78" s="31"/>
      <c r="L78" s="31"/>
      <c r="M78" s="31"/>
      <c r="N78" s="31"/>
      <c r="O78" s="31"/>
      <c r="P78" s="31"/>
      <c r="Q78" s="31"/>
      <c r="R78" s="31"/>
      <c r="S78" s="31"/>
      <c r="T78" s="31"/>
      <c r="U78" s="31"/>
      <c r="V78" s="31"/>
      <c r="W78" s="31"/>
      <c r="X78" s="31"/>
      <c r="Y78" s="31"/>
      <c r="Z78" s="31"/>
    </row>
    <row r="79" spans="4:26">
      <c r="D79" s="31"/>
      <c r="E79" s="31"/>
      <c r="F79" s="31"/>
      <c r="G79" s="31"/>
      <c r="H79" s="31"/>
      <c r="I79" s="31"/>
      <c r="J79" s="31"/>
      <c r="K79" s="31"/>
      <c r="L79" s="31"/>
      <c r="M79" s="31"/>
      <c r="N79" s="31"/>
      <c r="O79" s="31"/>
      <c r="P79" s="31"/>
      <c r="Q79" s="31"/>
      <c r="R79" s="31"/>
      <c r="S79" s="31"/>
      <c r="T79" s="31"/>
      <c r="U79" s="31"/>
      <c r="V79" s="31"/>
      <c r="W79" s="31"/>
      <c r="X79" s="31"/>
      <c r="Y79" s="31"/>
      <c r="Z79" s="31"/>
    </row>
    <row r="80" spans="4:26">
      <c r="D80" s="31"/>
      <c r="E80" s="31"/>
      <c r="F80" s="31"/>
      <c r="G80" s="31"/>
      <c r="H80" s="31"/>
      <c r="I80" s="31"/>
      <c r="J80" s="31"/>
      <c r="K80" s="31"/>
      <c r="L80" s="31"/>
      <c r="M80" s="31"/>
      <c r="N80" s="31"/>
      <c r="O80" s="31"/>
      <c r="P80" s="31"/>
      <c r="Q80" s="31"/>
      <c r="R80" s="31"/>
      <c r="S80" s="31"/>
      <c r="T80" s="31"/>
      <c r="U80" s="31"/>
      <c r="V80" s="31"/>
      <c r="W80" s="31"/>
      <c r="X80" s="31"/>
      <c r="Y80" s="31"/>
      <c r="Z80" s="31"/>
    </row>
    <row r="81" spans="4:26">
      <c r="D81" s="31"/>
      <c r="E81" s="31"/>
      <c r="F81" s="31"/>
      <c r="G81" s="31"/>
      <c r="H81" s="31"/>
      <c r="I81" s="31"/>
      <c r="J81" s="31"/>
      <c r="K81" s="31"/>
      <c r="L81" s="31"/>
      <c r="M81" s="31"/>
      <c r="N81" s="31"/>
      <c r="O81" s="31"/>
      <c r="P81" s="31"/>
      <c r="Q81" s="31"/>
      <c r="R81" s="31"/>
      <c r="S81" s="31"/>
      <c r="T81" s="31"/>
      <c r="U81" s="31"/>
      <c r="V81" s="31"/>
      <c r="W81" s="31"/>
      <c r="X81" s="31"/>
      <c r="Y81" s="31"/>
      <c r="Z81" s="31"/>
    </row>
    <row r="82" spans="4:26">
      <c r="D82" s="31"/>
      <c r="E82" s="31"/>
      <c r="F82" s="31"/>
      <c r="G82" s="31"/>
      <c r="H82" s="31"/>
      <c r="I82" s="31"/>
      <c r="J82" s="31"/>
      <c r="K82" s="31"/>
      <c r="L82" s="31"/>
      <c r="M82" s="31"/>
      <c r="N82" s="31"/>
      <c r="O82" s="31"/>
      <c r="P82" s="31"/>
      <c r="Q82" s="31"/>
      <c r="R82" s="31"/>
      <c r="S82" s="31"/>
      <c r="T82" s="31"/>
      <c r="U82" s="31"/>
      <c r="V82" s="31"/>
      <c r="W82" s="31"/>
      <c r="X82" s="31"/>
      <c r="Y82" s="31"/>
      <c r="Z82" s="31"/>
    </row>
    <row r="83" spans="4:26">
      <c r="D83" s="31"/>
      <c r="E83" s="31"/>
      <c r="F83" s="31"/>
      <c r="G83" s="31"/>
      <c r="H83" s="31"/>
      <c r="I83" s="31"/>
      <c r="J83" s="31"/>
      <c r="K83" s="31"/>
      <c r="L83" s="31"/>
      <c r="M83" s="31"/>
      <c r="N83" s="31"/>
      <c r="O83" s="31"/>
      <c r="P83" s="31"/>
      <c r="Q83" s="31"/>
      <c r="R83" s="31"/>
      <c r="S83" s="31"/>
      <c r="T83" s="31"/>
      <c r="U83" s="31"/>
      <c r="V83" s="31"/>
      <c r="W83" s="31"/>
      <c r="X83" s="31"/>
      <c r="Y83" s="31"/>
      <c r="Z83" s="31"/>
    </row>
    <row r="84" spans="4:26">
      <c r="D84" s="31"/>
      <c r="E84" s="31"/>
      <c r="F84" s="31"/>
      <c r="G84" s="31"/>
      <c r="H84" s="31"/>
      <c r="I84" s="31"/>
      <c r="J84" s="31"/>
      <c r="K84" s="31"/>
      <c r="L84" s="31"/>
      <c r="M84" s="31"/>
      <c r="N84" s="31"/>
      <c r="O84" s="31"/>
      <c r="P84" s="31"/>
      <c r="Q84" s="31"/>
      <c r="R84" s="31"/>
      <c r="S84" s="31"/>
      <c r="T84" s="31"/>
      <c r="U84" s="31"/>
      <c r="V84" s="31"/>
      <c r="W84" s="31"/>
      <c r="X84" s="31"/>
      <c r="Y84" s="31"/>
      <c r="Z84" s="31"/>
    </row>
    <row r="85" spans="4:26">
      <c r="D85" s="31"/>
      <c r="E85" s="31"/>
      <c r="F85" s="31"/>
      <c r="G85" s="31"/>
      <c r="H85" s="31"/>
      <c r="I85" s="31"/>
      <c r="J85" s="31"/>
      <c r="K85" s="31"/>
      <c r="L85" s="31"/>
      <c r="M85" s="31"/>
      <c r="N85" s="31"/>
      <c r="O85" s="31"/>
      <c r="P85" s="31"/>
      <c r="Q85" s="31"/>
      <c r="R85" s="31"/>
      <c r="S85" s="31"/>
      <c r="T85" s="31"/>
      <c r="U85" s="31"/>
      <c r="V85" s="31"/>
      <c r="W85" s="31"/>
      <c r="X85" s="31"/>
      <c r="Y85" s="31"/>
      <c r="Z85" s="31"/>
    </row>
  </sheetData>
  <mergeCells count="284">
    <mergeCell ref="D5:N6"/>
    <mergeCell ref="A27:C28"/>
    <mergeCell ref="G27:I28"/>
    <mergeCell ref="AN27:AP28"/>
    <mergeCell ref="BJ25:BK26"/>
    <mergeCell ref="BM25:BP26"/>
    <mergeCell ref="AA25:AH26"/>
    <mergeCell ref="AR25:AY26"/>
    <mergeCell ref="BA25:BH26"/>
    <mergeCell ref="AJ25:AP26"/>
    <mergeCell ref="AJ27:AK28"/>
    <mergeCell ref="AL27:AM28"/>
    <mergeCell ref="AR27:AS28"/>
    <mergeCell ref="AT27:AU28"/>
    <mergeCell ref="BF27:BF28"/>
    <mergeCell ref="BG27:BG28"/>
    <mergeCell ref="BH27:BH28"/>
    <mergeCell ref="BM28:BM33"/>
    <mergeCell ref="O48:P49"/>
    <mergeCell ref="O50:P51"/>
    <mergeCell ref="O54:P55"/>
    <mergeCell ref="O52:P53"/>
    <mergeCell ref="E27:F28"/>
    <mergeCell ref="AA27:AB28"/>
    <mergeCell ref="AC27:AD28"/>
    <mergeCell ref="AE27:AF28"/>
    <mergeCell ref="AG27:AH28"/>
    <mergeCell ref="BA27:BB28"/>
    <mergeCell ref="BC27:BD28"/>
    <mergeCell ref="D27:D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I52:K52"/>
    <mergeCell ref="Q52:S52"/>
    <mergeCell ref="U52:V52"/>
    <mergeCell ref="I53:K53"/>
    <mergeCell ref="Q53:S53"/>
    <mergeCell ref="U53:V53"/>
    <mergeCell ref="Q54:S54"/>
    <mergeCell ref="U54:V54"/>
    <mergeCell ref="Q55:S55"/>
    <mergeCell ref="U55:V55"/>
    <mergeCell ref="J49:K49"/>
    <mergeCell ref="L49:M49"/>
    <mergeCell ref="Q49:S49"/>
    <mergeCell ref="U49:V49"/>
    <mergeCell ref="J50:K50"/>
    <mergeCell ref="L50:M50"/>
    <mergeCell ref="Q50:S50"/>
    <mergeCell ref="U50:V50"/>
    <mergeCell ref="Q51:S51"/>
    <mergeCell ref="U51:V51"/>
    <mergeCell ref="J45:K45"/>
    <mergeCell ref="L45:M45"/>
    <mergeCell ref="O45:S45"/>
    <mergeCell ref="U45:V45"/>
    <mergeCell ref="O46:S46"/>
    <mergeCell ref="U46:V46"/>
    <mergeCell ref="J47:M47"/>
    <mergeCell ref="J48:K48"/>
    <mergeCell ref="L48:M48"/>
    <mergeCell ref="Q48:S48"/>
    <mergeCell ref="U48:V48"/>
    <mergeCell ref="D42:F42"/>
    <mergeCell ref="J42:K42"/>
    <mergeCell ref="L42:M42"/>
    <mergeCell ref="D43:F43"/>
    <mergeCell ref="J43:K43"/>
    <mergeCell ref="L43:M43"/>
    <mergeCell ref="O43:S43"/>
    <mergeCell ref="U43:V43"/>
    <mergeCell ref="D44:F44"/>
    <mergeCell ref="J44:K44"/>
    <mergeCell ref="L44:M44"/>
    <mergeCell ref="O44:S44"/>
    <mergeCell ref="U44:V44"/>
    <mergeCell ref="AR38:AS38"/>
    <mergeCell ref="AT38:AU38"/>
    <mergeCell ref="BA38:BB38"/>
    <mergeCell ref="BC38:BD38"/>
    <mergeCell ref="D40:F40"/>
    <mergeCell ref="J40:M40"/>
    <mergeCell ref="O40:S40"/>
    <mergeCell ref="U40:V40"/>
    <mergeCell ref="D41:F41"/>
    <mergeCell ref="J41:K41"/>
    <mergeCell ref="L41:M41"/>
    <mergeCell ref="O41:S41"/>
    <mergeCell ref="U41:V41"/>
    <mergeCell ref="E38:F38"/>
    <mergeCell ref="G38:I38"/>
    <mergeCell ref="AA38:AB38"/>
    <mergeCell ref="AC38:AD38"/>
    <mergeCell ref="AE38:AF38"/>
    <mergeCell ref="AG38:AH38"/>
    <mergeCell ref="AJ38:AK38"/>
    <mergeCell ref="AL38:AM38"/>
    <mergeCell ref="AN38:AP38"/>
    <mergeCell ref="AR36:AS36"/>
    <mergeCell ref="AT36:AU36"/>
    <mergeCell ref="BA36:BB36"/>
    <mergeCell ref="BC36:BD36"/>
    <mergeCell ref="E37:F37"/>
    <mergeCell ref="G37:I37"/>
    <mergeCell ref="AA37:AB37"/>
    <mergeCell ref="AC37:AD37"/>
    <mergeCell ref="AE37:AF37"/>
    <mergeCell ref="AG37:AH37"/>
    <mergeCell ref="AJ37:AK37"/>
    <mergeCell ref="AL37:AM37"/>
    <mergeCell ref="AN37:AP37"/>
    <mergeCell ref="AR37:AS37"/>
    <mergeCell ref="AT37:AU37"/>
    <mergeCell ref="BA37:BB37"/>
    <mergeCell ref="BC37:BD37"/>
    <mergeCell ref="E36:F36"/>
    <mergeCell ref="G36:I36"/>
    <mergeCell ref="AA36:AB36"/>
    <mergeCell ref="AC36:AD36"/>
    <mergeCell ref="AE36:AF36"/>
    <mergeCell ref="AG36:AH36"/>
    <mergeCell ref="AJ36:AK36"/>
    <mergeCell ref="AL36:AM36"/>
    <mergeCell ref="AN36:AP36"/>
    <mergeCell ref="AR34:AS34"/>
    <mergeCell ref="AT34:AU34"/>
    <mergeCell ref="BA34:BB34"/>
    <mergeCell ref="BC34:BD34"/>
    <mergeCell ref="BN34:BP34"/>
    <mergeCell ref="E35:F35"/>
    <mergeCell ref="G35:I35"/>
    <mergeCell ref="AA35:AB35"/>
    <mergeCell ref="AC35:AD35"/>
    <mergeCell ref="AE35:AF35"/>
    <mergeCell ref="AG35:AH35"/>
    <mergeCell ref="AJ35:AK35"/>
    <mergeCell ref="AL35:AM35"/>
    <mergeCell ref="AN35:AP35"/>
    <mergeCell ref="AR35:AS35"/>
    <mergeCell ref="AT35:AU35"/>
    <mergeCell ref="BA35:BB35"/>
    <mergeCell ref="BC35:BD35"/>
    <mergeCell ref="E34:F34"/>
    <mergeCell ref="G34:I34"/>
    <mergeCell ref="AA34:AB34"/>
    <mergeCell ref="AC34:AD34"/>
    <mergeCell ref="AE34:AF34"/>
    <mergeCell ref="AG34:AH34"/>
    <mergeCell ref="AJ34:AK34"/>
    <mergeCell ref="AL34:AM34"/>
    <mergeCell ref="AN34:AP34"/>
    <mergeCell ref="AR32:AS32"/>
    <mergeCell ref="AT32:AU32"/>
    <mergeCell ref="BA32:BB32"/>
    <mergeCell ref="BC32:BD32"/>
    <mergeCell ref="BN32:BO32"/>
    <mergeCell ref="E33:F33"/>
    <mergeCell ref="G33:I33"/>
    <mergeCell ref="AA33:AB33"/>
    <mergeCell ref="AC33:AD33"/>
    <mergeCell ref="AE33:AF33"/>
    <mergeCell ref="AG33:AH33"/>
    <mergeCell ref="AJ33:AK33"/>
    <mergeCell ref="AL33:AM33"/>
    <mergeCell ref="AN33:AP33"/>
    <mergeCell ref="AR33:AS33"/>
    <mergeCell ref="AT33:AU33"/>
    <mergeCell ref="BA33:BB33"/>
    <mergeCell ref="BC33:BD33"/>
    <mergeCell ref="BN33:BO33"/>
    <mergeCell ref="E32:F32"/>
    <mergeCell ref="G32:I32"/>
    <mergeCell ref="AA32:AB32"/>
    <mergeCell ref="AC32:AD32"/>
    <mergeCell ref="AE32:AF32"/>
    <mergeCell ref="AG32:AH32"/>
    <mergeCell ref="AJ32:AK32"/>
    <mergeCell ref="AL32:AM32"/>
    <mergeCell ref="AN32:AP32"/>
    <mergeCell ref="AR30:AS30"/>
    <mergeCell ref="AT30:AU30"/>
    <mergeCell ref="BA30:BB30"/>
    <mergeCell ref="BC30:BD30"/>
    <mergeCell ref="BN30:BO30"/>
    <mergeCell ref="E31:F31"/>
    <mergeCell ref="G31:I31"/>
    <mergeCell ref="AA31:AB31"/>
    <mergeCell ref="AC31:AD31"/>
    <mergeCell ref="AE31:AF31"/>
    <mergeCell ref="AG31:AH31"/>
    <mergeCell ref="AJ31:AK31"/>
    <mergeCell ref="AL31:AM31"/>
    <mergeCell ref="AN31:AP31"/>
    <mergeCell ref="AR31:AS31"/>
    <mergeCell ref="AT31:AU31"/>
    <mergeCell ref="BA31:BB31"/>
    <mergeCell ref="BC31:BD31"/>
    <mergeCell ref="BN31:BO31"/>
    <mergeCell ref="E30:F30"/>
    <mergeCell ref="G30:I30"/>
    <mergeCell ref="AA30:AB30"/>
    <mergeCell ref="AC30:AD30"/>
    <mergeCell ref="AE30:AF30"/>
    <mergeCell ref="AG30:AH30"/>
    <mergeCell ref="AJ30:AK30"/>
    <mergeCell ref="AL30:AM30"/>
    <mergeCell ref="AN30:AP30"/>
    <mergeCell ref="N25:P25"/>
    <mergeCell ref="BN27:BP27"/>
    <mergeCell ref="BN28:BO28"/>
    <mergeCell ref="E29:F29"/>
    <mergeCell ref="G29:I29"/>
    <mergeCell ref="AA29:AB29"/>
    <mergeCell ref="AC29:AD29"/>
    <mergeCell ref="AE29:AF29"/>
    <mergeCell ref="AG29:AH29"/>
    <mergeCell ref="AJ29:AK29"/>
    <mergeCell ref="AL29:AM29"/>
    <mergeCell ref="AN29:AP29"/>
    <mergeCell ref="AR29:AS29"/>
    <mergeCell ref="AT29:AU29"/>
    <mergeCell ref="BA29:BB29"/>
    <mergeCell ref="BC29:BD29"/>
    <mergeCell ref="BN29:BO29"/>
    <mergeCell ref="X27:X28"/>
    <mergeCell ref="Y27:Y28"/>
    <mergeCell ref="AV27:AV28"/>
    <mergeCell ref="AW27:AW28"/>
    <mergeCell ref="AX27:AX28"/>
    <mergeCell ref="AY27:AY28"/>
    <mergeCell ref="BE27:BE28"/>
    <mergeCell ref="D21:F21"/>
    <mergeCell ref="G21:H21"/>
    <mergeCell ref="K21:M21"/>
    <mergeCell ref="D22:F22"/>
    <mergeCell ref="G22:H22"/>
    <mergeCell ref="I22:J22"/>
    <mergeCell ref="K22:M22"/>
    <mergeCell ref="D23:F23"/>
    <mergeCell ref="G23:H23"/>
    <mergeCell ref="I23:J23"/>
    <mergeCell ref="K23:M23"/>
    <mergeCell ref="D17:F17"/>
    <mergeCell ref="G17:H17"/>
    <mergeCell ref="K17:M17"/>
    <mergeCell ref="D19:F19"/>
    <mergeCell ref="G19:H19"/>
    <mergeCell ref="K19:M19"/>
    <mergeCell ref="D20:F20"/>
    <mergeCell ref="G20:H20"/>
    <mergeCell ref="K20:M20"/>
    <mergeCell ref="D13:F13"/>
    <mergeCell ref="G13:H13"/>
    <mergeCell ref="K13:M13"/>
    <mergeCell ref="K14:M14"/>
    <mergeCell ref="D15:F15"/>
    <mergeCell ref="G15:H15"/>
    <mergeCell ref="K15:M15"/>
    <mergeCell ref="D16:F16"/>
    <mergeCell ref="G16:H16"/>
    <mergeCell ref="K16:M16"/>
    <mergeCell ref="E8:H8"/>
    <mergeCell ref="K8:N8"/>
    <mergeCell ref="D10:F10"/>
    <mergeCell ref="G10:H10"/>
    <mergeCell ref="J10:K10"/>
    <mergeCell ref="L10:N10"/>
    <mergeCell ref="D11:F11"/>
    <mergeCell ref="G11:H11"/>
    <mergeCell ref="D12:F12"/>
    <mergeCell ref="G12:H12"/>
    <mergeCell ref="K12:M12"/>
  </mergeCells>
  <conditionalFormatting sqref="B29">
    <cfRule type="expression" dxfId="11" priority="13">
      <formula>$AJ$29&lt;&gt;""</formula>
    </cfRule>
  </conditionalFormatting>
  <conditionalFormatting sqref="B30">
    <cfRule type="expression" dxfId="10" priority="10">
      <formula>$AJ$30&lt;&gt;""</formula>
    </cfRule>
  </conditionalFormatting>
  <conditionalFormatting sqref="B31">
    <cfRule type="expression" dxfId="9" priority="9">
      <formula>$AJ$31&lt;&gt;""</formula>
    </cfRule>
  </conditionalFormatting>
  <conditionalFormatting sqref="B32">
    <cfRule type="expression" dxfId="8" priority="8">
      <formula>$AJ$32&lt;&gt;""</formula>
    </cfRule>
  </conditionalFormatting>
  <conditionalFormatting sqref="B33">
    <cfRule type="expression" dxfId="7" priority="7">
      <formula>$AJ$33&lt;&gt;""</formula>
    </cfRule>
  </conditionalFormatting>
  <conditionalFormatting sqref="B34">
    <cfRule type="expression" dxfId="6" priority="6">
      <formula>$AJ$34&lt;&gt;""</formula>
    </cfRule>
  </conditionalFormatting>
  <conditionalFormatting sqref="B35">
    <cfRule type="expression" dxfId="5" priority="5">
      <formula>$AJ$35&lt;&gt;""</formula>
    </cfRule>
  </conditionalFormatting>
  <conditionalFormatting sqref="B36">
    <cfRule type="expression" dxfId="4" priority="4">
      <formula>$AJ$36&lt;&gt;""</formula>
    </cfRule>
  </conditionalFormatting>
  <conditionalFormatting sqref="B37">
    <cfRule type="expression" dxfId="3" priority="3">
      <formula>$AJ$37&lt;&gt;""</formula>
    </cfRule>
  </conditionalFormatting>
  <conditionalFormatting sqref="B38">
    <cfRule type="expression" dxfId="2" priority="2">
      <formula>$AJ$38&lt;&gt;""</formula>
    </cfRule>
  </conditionalFormatting>
  <conditionalFormatting sqref="P7">
    <cfRule type="expression" dxfId="1" priority="22">
      <formula>$K$8="Méthode pressiométrique (annexe F)"</formula>
    </cfRule>
  </conditionalFormatting>
  <conditionalFormatting sqref="U7">
    <cfRule type="expression" dxfId="0" priority="23">
      <formula>$K$8="Méthode pénétrométrique (annexe G)"</formula>
    </cfRule>
  </conditionalFormatting>
  <dataValidations count="9">
    <dataValidation type="list" allowBlank="1" showInputMessage="1" showErrorMessage="1" sqref="K8" xr:uid="{00000000-0002-0000-0000-000001000000}">
      <formula1>"Méthode pressiométrique (annexe F),Méthode pénétrométrique (annexe G)"</formula1>
    </dataValidation>
    <dataValidation type="list" allowBlank="1" showInputMessage="1" showErrorMessage="1" sqref="G15" xr:uid="{00000000-0002-0000-0000-000002000000}">
      <formula1>"Compression,Traction"</formula1>
    </dataValidation>
    <dataValidation type="decimal" operator="greaterThanOrEqual" allowBlank="1" showInputMessage="1" showErrorMessage="1" errorTitle="Valeur négative." error="Veuillez entrer un une valeur positive." sqref="G19:H19" xr:uid="{00000000-0002-0000-0000-000003000000}">
      <formula1>0</formula1>
    </dataValidation>
    <dataValidation type="decimal" operator="greaterThanOrEqual" allowBlank="1" showInputMessage="1" showErrorMessage="1" errorTitle="Valeur négative." error="Veuillez entrer une valeur positive." sqref="G20 G22:H23" xr:uid="{00000000-0002-0000-0000-000004000000}">
      <formula1>0</formula1>
    </dataValidation>
    <dataValidation type="decimal" allowBlank="1" showInputMessage="1" showErrorMessage="1" error="La hauteur dans la couche porteuse doit necessairement être inférieure à la hauteur totale du pieu." sqref="G21" xr:uid="{00000000-0002-0000-0000-000005000000}">
      <formula1>0</formula1>
      <formula2>G20</formula2>
    </dataValidation>
    <dataValidation type="custom" allowBlank="1" showInputMessage="1" showErrorMessage="1" error="Veuillez renseigner le nom et le type de sol des couches supérieures." sqref="E29:F38" xr:uid="{00000000-0002-0000-0000-000006000000}">
      <formula1>AG29=TRUE</formula1>
    </dataValidation>
    <dataValidation type="custom" allowBlank="1" showInputMessage="1" showErrorMessage="1" error="Veuillez renseigner le nom de la couche et le type de sol correspondants." sqref="J29:J38" xr:uid="{00000000-0002-0000-0000-000007000000}">
      <formula1>AE29=TRUE</formula1>
    </dataValidation>
    <dataValidation type="custom" allowBlank="1" showInputMessage="1" showErrorMessage="1" error="Veuillez renseigner le nom de la couche et le type de sol correspondants." sqref="L29:L38" xr:uid="{00000000-0002-0000-0000-000008000000}">
      <formula1>AE29=TRUE</formula1>
    </dataValidation>
    <dataValidation type="list" allowBlank="1" showInputMessage="1" showErrorMessage="1" sqref="G16:H17" xr:uid="{00000000-0002-0000-0000-000009000000}">
      <formula1>"OUI,NON"</formula1>
    </dataValidation>
  </dataValidations>
  <pageMargins left="0.7" right="0.7" top="0.75" bottom="0.75" header="0.3" footer="0.3"/>
  <pageSetup paperSize="9" orientation="portrait"/>
  <ignoredErrors>
    <ignoredError sqref="AL30" 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'Tableaux généraux'!$D$5:$D$24</xm:f>
          </x14:formula1>
          <xm:sqref>E8</xm:sqref>
        </x14:dataValidation>
        <x14:dataValidation type="list" allowBlank="1" showInputMessage="1" showErrorMessage="1" xr:uid="{00000000-0002-0000-0000-00000A000000}">
          <x14:formula1>
            <xm:f>'Tableaux généraux'!$Z$25:$Z$30</xm:f>
          </x14:formula1>
          <xm:sqref>G29:I38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M59"/>
  <sheetViews>
    <sheetView showGridLines="0" workbookViewId="0">
      <selection activeCell="M8" sqref="M8:N8"/>
    </sheetView>
  </sheetViews>
  <sheetFormatPr defaultColWidth="11" defaultRowHeight="14.4" outlineLevelCol="1"/>
  <cols>
    <col min="1" max="1" width="5.6640625" customWidth="1"/>
    <col min="10" max="10" width="5.6640625" customWidth="1"/>
    <col min="26" max="38" width="11" hidden="1" customWidth="1" outlineLevel="1"/>
    <col min="39" max="39" width="11.44140625" collapsed="1"/>
  </cols>
  <sheetData>
    <row r="1" spans="2:38" ht="21">
      <c r="B1" s="1" t="s">
        <v>125</v>
      </c>
    </row>
    <row r="2" spans="2:38" ht="15" customHeight="1">
      <c r="Z2" s="161" t="str">
        <f>B3</f>
        <v>Tableau A.1 - Classes et catégories de pieux</v>
      </c>
      <c r="AA2" s="162"/>
      <c r="AB2" s="162"/>
      <c r="AC2" s="162"/>
      <c r="AD2" s="163"/>
      <c r="AF2" s="164" t="s">
        <v>126</v>
      </c>
      <c r="AG2" s="164"/>
      <c r="AH2" s="164"/>
      <c r="AI2" s="164"/>
      <c r="AJ2" s="164"/>
      <c r="AK2" s="164"/>
      <c r="AL2" s="164"/>
    </row>
    <row r="3" spans="2:38" ht="15" customHeight="1">
      <c r="B3" s="165" t="s">
        <v>127</v>
      </c>
      <c r="C3" s="165"/>
      <c r="D3" s="165"/>
      <c r="E3" s="165"/>
      <c r="F3" s="165"/>
      <c r="G3" s="165"/>
      <c r="H3" s="165"/>
      <c r="I3" s="165"/>
      <c r="K3" s="166" t="s">
        <v>128</v>
      </c>
      <c r="L3" s="166"/>
      <c r="M3" s="166"/>
      <c r="N3" s="166"/>
      <c r="O3" s="166"/>
      <c r="P3" s="166"/>
      <c r="Q3" s="166"/>
      <c r="R3" s="166"/>
      <c r="S3" s="166"/>
      <c r="T3" s="166"/>
      <c r="U3" s="166"/>
      <c r="V3" s="166"/>
      <c r="W3" s="166"/>
      <c r="X3" s="166"/>
      <c r="Z3" s="13" t="s">
        <v>129</v>
      </c>
      <c r="AA3" s="13" t="s">
        <v>9</v>
      </c>
      <c r="AB3" s="13" t="s">
        <v>130</v>
      </c>
      <c r="AC3" s="13" t="s">
        <v>131</v>
      </c>
      <c r="AD3" s="13" t="s">
        <v>132</v>
      </c>
      <c r="AF3" s="13" t="s">
        <v>132</v>
      </c>
      <c r="AG3" s="15" t="str">
        <f>Z25</f>
        <v>Argile % CaCO3 &lt; 30 % Limon</v>
      </c>
      <c r="AH3" s="15" t="str">
        <f>Z26</f>
        <v>Sols intermédiaires</v>
      </c>
      <c r="AI3" s="15" t="str">
        <f>Z27</f>
        <v>Sable Grave</v>
      </c>
      <c r="AJ3" s="15" t="str">
        <f>Z28</f>
        <v>Craie</v>
      </c>
      <c r="AK3" s="15" t="str">
        <f>Z29</f>
        <v>Marne et Calcaire-Marneux</v>
      </c>
      <c r="AL3" s="15" t="str">
        <f>Z30</f>
        <v>Roche altérée ou fragmentée</v>
      </c>
    </row>
    <row r="4" spans="2:38" ht="15" customHeight="1">
      <c r="B4" s="23" t="s">
        <v>131</v>
      </c>
      <c r="C4" s="22" t="s">
        <v>132</v>
      </c>
      <c r="D4" s="167" t="s">
        <v>133</v>
      </c>
      <c r="E4" s="168"/>
      <c r="F4" s="168"/>
      <c r="G4" s="168"/>
      <c r="H4" s="22" t="s">
        <v>9</v>
      </c>
      <c r="I4" s="22" t="s">
        <v>130</v>
      </c>
      <c r="K4" s="77" t="s">
        <v>134</v>
      </c>
      <c r="L4" s="77" t="s">
        <v>9</v>
      </c>
      <c r="M4" s="169" t="s">
        <v>135</v>
      </c>
      <c r="N4" s="169"/>
      <c r="O4" s="169"/>
      <c r="P4" s="169"/>
      <c r="Q4" s="169"/>
      <c r="R4" s="169"/>
      <c r="S4" s="169"/>
      <c r="T4" s="169"/>
      <c r="U4" s="169"/>
      <c r="V4" s="169"/>
      <c r="W4" s="169"/>
      <c r="X4" s="169"/>
      <c r="Z4" s="15" t="str">
        <f t="shared" ref="Z4:Z23" si="0">D5</f>
        <v>Foré simple (pieux et barrettes)</v>
      </c>
      <c r="AA4" s="13" t="str">
        <f>H5</f>
        <v>FS</v>
      </c>
      <c r="AB4" s="13" t="str">
        <f>I5</f>
        <v>NF EN 1536</v>
      </c>
      <c r="AC4" s="13">
        <f>B5</f>
        <v>1</v>
      </c>
      <c r="AD4" s="13">
        <f>C5</f>
        <v>1</v>
      </c>
      <c r="AF4" s="13">
        <f t="shared" ref="AF4:AF23" si="1">K7</f>
        <v>1</v>
      </c>
      <c r="AG4" s="27">
        <f t="shared" ref="AG4:AG23" si="2">M7</f>
        <v>90</v>
      </c>
      <c r="AH4" s="27">
        <f t="shared" ref="AH4:AH23" si="3">O7</f>
        <v>90</v>
      </c>
      <c r="AI4" s="27">
        <f t="shared" ref="AI4:AI23" si="4">Q7</f>
        <v>90</v>
      </c>
      <c r="AJ4" s="27">
        <f t="shared" ref="AJ4:AJ23" si="5">S7</f>
        <v>200</v>
      </c>
      <c r="AK4" s="27">
        <f t="shared" ref="AK4:AK23" si="6">U7</f>
        <v>170</v>
      </c>
      <c r="AL4" s="27">
        <f t="shared" ref="AL4:AL23" si="7">W7</f>
        <v>200</v>
      </c>
    </row>
    <row r="5" spans="2:38" ht="15" customHeight="1">
      <c r="B5" s="179">
        <v>1</v>
      </c>
      <c r="C5" s="7">
        <v>1</v>
      </c>
      <c r="D5" s="77" t="s">
        <v>136</v>
      </c>
      <c r="E5" s="77"/>
      <c r="F5" s="77"/>
      <c r="G5" s="77"/>
      <c r="H5" s="6" t="s">
        <v>137</v>
      </c>
      <c r="I5" s="129" t="s">
        <v>138</v>
      </c>
      <c r="K5" s="77"/>
      <c r="L5" s="77"/>
      <c r="M5" s="143" t="s">
        <v>139</v>
      </c>
      <c r="N5" s="143"/>
      <c r="O5" s="143" t="s">
        <v>140</v>
      </c>
      <c r="P5" s="143"/>
      <c r="Q5" s="143" t="s">
        <v>141</v>
      </c>
      <c r="R5" s="143"/>
      <c r="S5" s="143" t="s">
        <v>142</v>
      </c>
      <c r="T5" s="143"/>
      <c r="U5" s="143" t="s">
        <v>80</v>
      </c>
      <c r="V5" s="143"/>
      <c r="W5" s="143" t="s">
        <v>143</v>
      </c>
      <c r="X5" s="143"/>
      <c r="Z5" s="15" t="str">
        <f t="shared" si="0"/>
        <v>Foré boue (pieux et barrettes)</v>
      </c>
      <c r="AA5" s="13" t="str">
        <f t="shared" ref="AA5:AA23" si="8">H6</f>
        <v>FB</v>
      </c>
      <c r="AB5" s="13" t="str">
        <f>I5</f>
        <v>NF EN 1536</v>
      </c>
      <c r="AC5" s="13">
        <f>B5</f>
        <v>1</v>
      </c>
      <c r="AD5" s="13">
        <f t="shared" ref="AD5:AD23" si="9">C6</f>
        <v>2</v>
      </c>
      <c r="AF5" s="13">
        <f t="shared" si="1"/>
        <v>2</v>
      </c>
      <c r="AG5" s="27">
        <f t="shared" si="2"/>
        <v>90</v>
      </c>
      <c r="AH5" s="27">
        <f t="shared" si="3"/>
        <v>90</v>
      </c>
      <c r="AI5" s="27">
        <f t="shared" si="4"/>
        <v>90</v>
      </c>
      <c r="AJ5" s="27">
        <f t="shared" si="5"/>
        <v>200</v>
      </c>
      <c r="AK5" s="27">
        <f t="shared" si="6"/>
        <v>170</v>
      </c>
      <c r="AL5" s="27">
        <f t="shared" si="7"/>
        <v>200</v>
      </c>
    </row>
    <row r="6" spans="2:38" ht="15" customHeight="1">
      <c r="B6" s="180"/>
      <c r="C6" s="7">
        <v>2</v>
      </c>
      <c r="D6" s="77" t="s">
        <v>6</v>
      </c>
      <c r="E6" s="77"/>
      <c r="F6" s="77"/>
      <c r="G6" s="77"/>
      <c r="H6" s="6" t="s">
        <v>144</v>
      </c>
      <c r="I6" s="181"/>
      <c r="K6" s="77"/>
      <c r="L6" s="77"/>
      <c r="M6" s="143"/>
      <c r="N6" s="143"/>
      <c r="O6" s="143"/>
      <c r="P6" s="143"/>
      <c r="Q6" s="143"/>
      <c r="R6" s="143"/>
      <c r="S6" s="143"/>
      <c r="T6" s="143"/>
      <c r="U6" s="143"/>
      <c r="V6" s="143"/>
      <c r="W6" s="143"/>
      <c r="X6" s="143"/>
      <c r="Z6" s="15" t="str">
        <f t="shared" si="0"/>
        <v>Foré tubé (virole perdue)</v>
      </c>
      <c r="AA6" s="13" t="str">
        <f t="shared" si="8"/>
        <v>FTP</v>
      </c>
      <c r="AB6" s="13" t="str">
        <f>I5</f>
        <v>NF EN 1536</v>
      </c>
      <c r="AC6" s="13">
        <f>B5</f>
        <v>1</v>
      </c>
      <c r="AD6" s="13">
        <f t="shared" si="9"/>
        <v>3</v>
      </c>
      <c r="AF6" s="13">
        <f t="shared" si="1"/>
        <v>3</v>
      </c>
      <c r="AG6" s="27">
        <f t="shared" si="2"/>
        <v>50</v>
      </c>
      <c r="AH6" s="27">
        <f t="shared" si="3"/>
        <v>50</v>
      </c>
      <c r="AI6" s="27">
        <f t="shared" si="4"/>
        <v>50</v>
      </c>
      <c r="AJ6" s="27">
        <f t="shared" si="5"/>
        <v>50</v>
      </c>
      <c r="AK6" s="27">
        <f t="shared" si="6"/>
        <v>90</v>
      </c>
      <c r="AL6" s="27" t="str">
        <f t="shared" si="7"/>
        <v>-</v>
      </c>
    </row>
    <row r="7" spans="2:38" ht="15" customHeight="1">
      <c r="B7" s="180"/>
      <c r="C7" s="7">
        <v>3</v>
      </c>
      <c r="D7" s="77" t="s">
        <v>145</v>
      </c>
      <c r="E7" s="77"/>
      <c r="F7" s="77"/>
      <c r="G7" s="77"/>
      <c r="H7" s="6" t="s">
        <v>146</v>
      </c>
      <c r="I7" s="181"/>
      <c r="K7" s="7">
        <v>1</v>
      </c>
      <c r="L7" s="8" t="s">
        <v>147</v>
      </c>
      <c r="M7" s="170">
        <v>90</v>
      </c>
      <c r="N7" s="170"/>
      <c r="O7" s="170">
        <v>90</v>
      </c>
      <c r="P7" s="170"/>
      <c r="Q7" s="170">
        <v>90</v>
      </c>
      <c r="R7" s="170"/>
      <c r="S7" s="170">
        <v>200</v>
      </c>
      <c r="T7" s="170"/>
      <c r="U7" s="170">
        <v>170</v>
      </c>
      <c r="V7" s="170"/>
      <c r="W7" s="170">
        <v>200</v>
      </c>
      <c r="X7" s="170"/>
      <c r="Z7" s="15" t="str">
        <f t="shared" si="0"/>
        <v>Foré tubé (virole récupérée)</v>
      </c>
      <c r="AA7" s="13" t="str">
        <f t="shared" si="8"/>
        <v>FTR</v>
      </c>
      <c r="AB7" s="13" t="str">
        <f>I5</f>
        <v>NF EN 1536</v>
      </c>
      <c r="AC7" s="13">
        <f>B5</f>
        <v>1</v>
      </c>
      <c r="AD7" s="13">
        <f t="shared" si="9"/>
        <v>4</v>
      </c>
      <c r="AF7" s="13">
        <f t="shared" si="1"/>
        <v>4</v>
      </c>
      <c r="AG7" s="27">
        <f t="shared" si="2"/>
        <v>90</v>
      </c>
      <c r="AH7" s="27">
        <f t="shared" si="3"/>
        <v>90</v>
      </c>
      <c r="AI7" s="27">
        <f t="shared" si="4"/>
        <v>90</v>
      </c>
      <c r="AJ7" s="27">
        <f t="shared" si="5"/>
        <v>170</v>
      </c>
      <c r="AK7" s="27">
        <f t="shared" si="6"/>
        <v>170</v>
      </c>
      <c r="AL7" s="27" t="str">
        <f t="shared" si="7"/>
        <v>-</v>
      </c>
    </row>
    <row r="8" spans="2:38" ht="15" customHeight="1">
      <c r="B8" s="180"/>
      <c r="C8" s="7">
        <v>4</v>
      </c>
      <c r="D8" s="77" t="s">
        <v>148</v>
      </c>
      <c r="E8" s="77"/>
      <c r="F8" s="77"/>
      <c r="G8" s="77"/>
      <c r="H8" s="6" t="s">
        <v>149</v>
      </c>
      <c r="I8" s="181"/>
      <c r="K8" s="7">
        <v>2</v>
      </c>
      <c r="L8" s="8" t="s">
        <v>150</v>
      </c>
      <c r="M8" s="170">
        <v>90</v>
      </c>
      <c r="N8" s="170"/>
      <c r="O8" s="170">
        <v>90</v>
      </c>
      <c r="P8" s="170"/>
      <c r="Q8" s="170">
        <v>90</v>
      </c>
      <c r="R8" s="170"/>
      <c r="S8" s="170">
        <v>200</v>
      </c>
      <c r="T8" s="170"/>
      <c r="U8" s="170">
        <v>170</v>
      </c>
      <c r="V8" s="170"/>
      <c r="W8" s="170">
        <v>200</v>
      </c>
      <c r="X8" s="170"/>
      <c r="Z8" s="15" t="str">
        <f t="shared" si="0"/>
        <v>Foré simple ou boue avec rainurage ou puits</v>
      </c>
      <c r="AA8" s="13" t="str">
        <f t="shared" si="8"/>
        <v>FSR, FBR, PU</v>
      </c>
      <c r="AB8" s="13" t="str">
        <f>I5</f>
        <v>NF EN 1536</v>
      </c>
      <c r="AC8" s="13">
        <f>B5</f>
        <v>1</v>
      </c>
      <c r="AD8" s="13">
        <f t="shared" si="9"/>
        <v>5</v>
      </c>
      <c r="AF8" s="13">
        <f t="shared" si="1"/>
        <v>5</v>
      </c>
      <c r="AG8" s="27">
        <f t="shared" si="2"/>
        <v>90</v>
      </c>
      <c r="AH8" s="27">
        <f t="shared" si="3"/>
        <v>90</v>
      </c>
      <c r="AI8" s="27" t="str">
        <f t="shared" si="4"/>
        <v>-</v>
      </c>
      <c r="AJ8" s="27" t="str">
        <f t="shared" si="5"/>
        <v>-</v>
      </c>
      <c r="AK8" s="27" t="str">
        <f t="shared" si="6"/>
        <v>-</v>
      </c>
      <c r="AL8" s="27" t="str">
        <f t="shared" si="7"/>
        <v>-</v>
      </c>
    </row>
    <row r="9" spans="2:38" ht="15" customHeight="1">
      <c r="B9" s="180"/>
      <c r="C9" s="7">
        <v>5</v>
      </c>
      <c r="D9" s="77" t="s">
        <v>151</v>
      </c>
      <c r="E9" s="77"/>
      <c r="F9" s="77"/>
      <c r="G9" s="77"/>
      <c r="H9" s="6" t="s">
        <v>152</v>
      </c>
      <c r="I9" s="130"/>
      <c r="K9" s="7">
        <v>3</v>
      </c>
      <c r="L9" s="8" t="s">
        <v>146</v>
      </c>
      <c r="M9" s="170">
        <v>50</v>
      </c>
      <c r="N9" s="170"/>
      <c r="O9" s="170">
        <v>50</v>
      </c>
      <c r="P9" s="170"/>
      <c r="Q9" s="170">
        <v>50</v>
      </c>
      <c r="R9" s="170"/>
      <c r="S9" s="170">
        <v>50</v>
      </c>
      <c r="T9" s="170"/>
      <c r="U9" s="170">
        <v>90</v>
      </c>
      <c r="V9" s="170"/>
      <c r="W9" s="170" t="s">
        <v>112</v>
      </c>
      <c r="X9" s="170"/>
      <c r="Z9" s="15" t="str">
        <f t="shared" si="0"/>
        <v>Foré tarière creuse simple rotation, ou double rotation</v>
      </c>
      <c r="AA9" s="13" t="str">
        <f t="shared" si="8"/>
        <v>FTC, FTCD</v>
      </c>
      <c r="AB9" s="13" t="str">
        <f>I10</f>
        <v>NF EN 1536</v>
      </c>
      <c r="AC9" s="13">
        <f>B10</f>
        <v>2</v>
      </c>
      <c r="AD9" s="13">
        <f t="shared" si="9"/>
        <v>6</v>
      </c>
      <c r="AF9" s="13">
        <f t="shared" si="1"/>
        <v>6</v>
      </c>
      <c r="AG9" s="27">
        <f t="shared" si="2"/>
        <v>90</v>
      </c>
      <c r="AH9" s="27">
        <f t="shared" si="3"/>
        <v>90</v>
      </c>
      <c r="AI9" s="27">
        <f t="shared" si="4"/>
        <v>170</v>
      </c>
      <c r="AJ9" s="27">
        <f t="shared" si="5"/>
        <v>200</v>
      </c>
      <c r="AK9" s="27">
        <f t="shared" si="6"/>
        <v>200</v>
      </c>
      <c r="AL9" s="27">
        <f t="shared" si="7"/>
        <v>200</v>
      </c>
    </row>
    <row r="10" spans="2:38" ht="15" customHeight="1">
      <c r="B10" s="7">
        <v>2</v>
      </c>
      <c r="C10" s="7">
        <v>6</v>
      </c>
      <c r="D10" s="77" t="s">
        <v>153</v>
      </c>
      <c r="E10" s="77"/>
      <c r="F10" s="77"/>
      <c r="G10" s="77"/>
      <c r="H10" s="6" t="s">
        <v>154</v>
      </c>
      <c r="I10" s="6" t="s">
        <v>138</v>
      </c>
      <c r="K10" s="7">
        <v>4</v>
      </c>
      <c r="L10" s="8" t="s">
        <v>149</v>
      </c>
      <c r="M10" s="170">
        <v>90</v>
      </c>
      <c r="N10" s="170"/>
      <c r="O10" s="170">
        <v>90</v>
      </c>
      <c r="P10" s="170"/>
      <c r="Q10" s="170">
        <v>90</v>
      </c>
      <c r="R10" s="170"/>
      <c r="S10" s="170">
        <v>170</v>
      </c>
      <c r="T10" s="170"/>
      <c r="U10" s="170">
        <v>170</v>
      </c>
      <c r="V10" s="170"/>
      <c r="W10" s="170" t="s">
        <v>112</v>
      </c>
      <c r="X10" s="170"/>
      <c r="Z10" s="15" t="str">
        <f t="shared" si="0"/>
        <v>Vissé moulé</v>
      </c>
      <c r="AA10" s="13" t="str">
        <f t="shared" si="8"/>
        <v>VM</v>
      </c>
      <c r="AB10" s="13" t="str">
        <f>I11</f>
        <v>NF EN 12699</v>
      </c>
      <c r="AC10" s="13">
        <f>B11</f>
        <v>3</v>
      </c>
      <c r="AD10" s="13">
        <f t="shared" si="9"/>
        <v>7</v>
      </c>
      <c r="AF10" s="13">
        <f t="shared" si="1"/>
        <v>7</v>
      </c>
      <c r="AG10" s="27">
        <f t="shared" si="2"/>
        <v>130</v>
      </c>
      <c r="AH10" s="27">
        <f t="shared" si="3"/>
        <v>130</v>
      </c>
      <c r="AI10" s="27">
        <f t="shared" si="4"/>
        <v>200</v>
      </c>
      <c r="AJ10" s="27">
        <f t="shared" si="5"/>
        <v>170</v>
      </c>
      <c r="AK10" s="27">
        <f t="shared" si="6"/>
        <v>170</v>
      </c>
      <c r="AL10" s="27" t="str">
        <f t="shared" si="7"/>
        <v>-</v>
      </c>
    </row>
    <row r="11" spans="2:38" ht="15" customHeight="1">
      <c r="B11" s="180">
        <v>3</v>
      </c>
      <c r="C11" s="7">
        <v>7</v>
      </c>
      <c r="D11" s="77" t="s">
        <v>155</v>
      </c>
      <c r="E11" s="77"/>
      <c r="F11" s="77"/>
      <c r="G11" s="77"/>
      <c r="H11" s="6" t="s">
        <v>156</v>
      </c>
      <c r="I11" s="129" t="s">
        <v>157</v>
      </c>
      <c r="K11" s="7">
        <v>5</v>
      </c>
      <c r="L11" s="8" t="s">
        <v>158</v>
      </c>
      <c r="M11" s="170">
        <v>90</v>
      </c>
      <c r="N11" s="170"/>
      <c r="O11" s="170">
        <v>90</v>
      </c>
      <c r="P11" s="170"/>
      <c r="Q11" s="170" t="s">
        <v>112</v>
      </c>
      <c r="R11" s="170"/>
      <c r="S11" s="170" t="s">
        <v>112</v>
      </c>
      <c r="T11" s="170"/>
      <c r="U11" s="170" t="s">
        <v>112</v>
      </c>
      <c r="V11" s="170"/>
      <c r="W11" s="170" t="s">
        <v>112</v>
      </c>
      <c r="X11" s="170"/>
      <c r="Z11" s="15" t="str">
        <f t="shared" si="0"/>
        <v>Vissé tubé</v>
      </c>
      <c r="AA11" s="13" t="str">
        <f t="shared" si="8"/>
        <v>VT</v>
      </c>
      <c r="AB11" s="13" t="str">
        <f>I11</f>
        <v>NF EN 12699</v>
      </c>
      <c r="AC11" s="13">
        <f>B11</f>
        <v>3</v>
      </c>
      <c r="AD11" s="13">
        <f t="shared" si="9"/>
        <v>8</v>
      </c>
      <c r="AF11" s="13">
        <f t="shared" si="1"/>
        <v>8</v>
      </c>
      <c r="AG11" s="27">
        <f t="shared" si="2"/>
        <v>50</v>
      </c>
      <c r="AH11" s="27">
        <f t="shared" si="3"/>
        <v>50</v>
      </c>
      <c r="AI11" s="27">
        <f t="shared" si="4"/>
        <v>90</v>
      </c>
      <c r="AJ11" s="27">
        <f t="shared" si="5"/>
        <v>90</v>
      </c>
      <c r="AK11" s="27">
        <f t="shared" si="6"/>
        <v>90</v>
      </c>
      <c r="AL11" s="27" t="str">
        <f t="shared" si="7"/>
        <v>-</v>
      </c>
    </row>
    <row r="12" spans="2:38" ht="15" customHeight="1">
      <c r="B12" s="180"/>
      <c r="C12" s="7">
        <v>8</v>
      </c>
      <c r="D12" s="77" t="s">
        <v>159</v>
      </c>
      <c r="E12" s="77"/>
      <c r="F12" s="77"/>
      <c r="G12" s="77"/>
      <c r="H12" s="6" t="s">
        <v>160</v>
      </c>
      <c r="I12" s="130"/>
      <c r="K12" s="7">
        <v>6</v>
      </c>
      <c r="L12" s="8" t="s">
        <v>154</v>
      </c>
      <c r="M12" s="170">
        <v>90</v>
      </c>
      <c r="N12" s="170"/>
      <c r="O12" s="170">
        <v>90</v>
      </c>
      <c r="P12" s="170"/>
      <c r="Q12" s="170">
        <v>170</v>
      </c>
      <c r="R12" s="170"/>
      <c r="S12" s="170">
        <v>200</v>
      </c>
      <c r="T12" s="170"/>
      <c r="U12" s="170">
        <v>200</v>
      </c>
      <c r="V12" s="170"/>
      <c r="W12" s="170">
        <v>200</v>
      </c>
      <c r="X12" s="170"/>
      <c r="Z12" s="15" t="str">
        <f t="shared" si="0"/>
        <v>Battu béton préfabriqué ou précontraint</v>
      </c>
      <c r="AA12" s="13" t="str">
        <f t="shared" si="8"/>
        <v>BPF, BPR</v>
      </c>
      <c r="AB12" s="13" t="str">
        <f>I13</f>
        <v>NF EN 12699</v>
      </c>
      <c r="AC12" s="13">
        <f>B13</f>
        <v>4</v>
      </c>
      <c r="AD12" s="13">
        <f t="shared" si="9"/>
        <v>9</v>
      </c>
      <c r="AF12" s="13">
        <f t="shared" si="1"/>
        <v>9</v>
      </c>
      <c r="AG12" s="27">
        <f t="shared" si="2"/>
        <v>130</v>
      </c>
      <c r="AH12" s="27">
        <f t="shared" si="3"/>
        <v>130</v>
      </c>
      <c r="AI12" s="27">
        <f t="shared" si="4"/>
        <v>130</v>
      </c>
      <c r="AJ12" s="27">
        <f t="shared" si="5"/>
        <v>90</v>
      </c>
      <c r="AK12" s="27">
        <f t="shared" si="6"/>
        <v>90</v>
      </c>
      <c r="AL12" s="27" t="str">
        <f t="shared" si="7"/>
        <v>-</v>
      </c>
    </row>
    <row r="13" spans="2:38" ht="15" customHeight="1">
      <c r="B13" s="180">
        <v>4</v>
      </c>
      <c r="C13" s="7">
        <v>9</v>
      </c>
      <c r="D13" s="171" t="s">
        <v>161</v>
      </c>
      <c r="E13" s="172"/>
      <c r="F13" s="172"/>
      <c r="G13" s="172"/>
      <c r="H13" s="6" t="s">
        <v>162</v>
      </c>
      <c r="I13" s="129" t="s">
        <v>157</v>
      </c>
      <c r="K13" s="7">
        <v>7</v>
      </c>
      <c r="L13" s="8" t="s">
        <v>156</v>
      </c>
      <c r="M13" s="170">
        <v>130</v>
      </c>
      <c r="N13" s="170"/>
      <c r="O13" s="170">
        <v>130</v>
      </c>
      <c r="P13" s="170"/>
      <c r="Q13" s="170">
        <v>200</v>
      </c>
      <c r="R13" s="170"/>
      <c r="S13" s="170">
        <v>170</v>
      </c>
      <c r="T13" s="170"/>
      <c r="U13" s="170">
        <v>170</v>
      </c>
      <c r="V13" s="170"/>
      <c r="W13" s="170" t="s">
        <v>112</v>
      </c>
      <c r="X13" s="170"/>
      <c r="Z13" s="15" t="str">
        <f t="shared" si="0"/>
        <v>Battu enrobé (béton - mortier - coulis)</v>
      </c>
      <c r="AA13" s="13" t="str">
        <f t="shared" si="8"/>
        <v>BE</v>
      </c>
      <c r="AB13" s="13" t="str">
        <f>I13</f>
        <v>NF EN 12699</v>
      </c>
      <c r="AC13" s="13">
        <f>B13</f>
        <v>4</v>
      </c>
      <c r="AD13" s="13">
        <f t="shared" si="9"/>
        <v>10</v>
      </c>
      <c r="AF13" s="13">
        <f t="shared" si="1"/>
        <v>10</v>
      </c>
      <c r="AG13" s="27">
        <f t="shared" si="2"/>
        <v>170</v>
      </c>
      <c r="AH13" s="27">
        <f t="shared" si="3"/>
        <v>170</v>
      </c>
      <c r="AI13" s="27">
        <f t="shared" si="4"/>
        <v>260</v>
      </c>
      <c r="AJ13" s="27">
        <f t="shared" si="5"/>
        <v>200</v>
      </c>
      <c r="AK13" s="27">
        <f t="shared" si="6"/>
        <v>200</v>
      </c>
      <c r="AL13" s="27" t="str">
        <f t="shared" si="7"/>
        <v>-</v>
      </c>
    </row>
    <row r="14" spans="2:38" ht="15" customHeight="1">
      <c r="B14" s="180"/>
      <c r="C14" s="7">
        <v>10</v>
      </c>
      <c r="D14" s="77" t="s">
        <v>163</v>
      </c>
      <c r="E14" s="77"/>
      <c r="F14" s="77"/>
      <c r="G14" s="77"/>
      <c r="H14" s="6" t="s">
        <v>164</v>
      </c>
      <c r="I14" s="181"/>
      <c r="K14" s="7">
        <v>8</v>
      </c>
      <c r="L14" s="8" t="s">
        <v>160</v>
      </c>
      <c r="M14" s="170">
        <v>50</v>
      </c>
      <c r="N14" s="170"/>
      <c r="O14" s="170">
        <v>50</v>
      </c>
      <c r="P14" s="170"/>
      <c r="Q14" s="170">
        <v>90</v>
      </c>
      <c r="R14" s="170"/>
      <c r="S14" s="170">
        <v>90</v>
      </c>
      <c r="T14" s="170"/>
      <c r="U14" s="170">
        <v>90</v>
      </c>
      <c r="V14" s="170"/>
      <c r="W14" s="170" t="s">
        <v>112</v>
      </c>
      <c r="X14" s="170"/>
      <c r="Z14" s="15" t="str">
        <f t="shared" si="0"/>
        <v>Battu moulé</v>
      </c>
      <c r="AA14" s="13" t="str">
        <f t="shared" si="8"/>
        <v>BM</v>
      </c>
      <c r="AB14" s="13" t="str">
        <f>I13</f>
        <v>NF EN 12699</v>
      </c>
      <c r="AC14" s="13">
        <f>B13</f>
        <v>4</v>
      </c>
      <c r="AD14" s="13">
        <f t="shared" si="9"/>
        <v>11</v>
      </c>
      <c r="AF14" s="13">
        <f t="shared" si="1"/>
        <v>11</v>
      </c>
      <c r="AG14" s="27">
        <f t="shared" si="2"/>
        <v>90</v>
      </c>
      <c r="AH14" s="27">
        <f t="shared" si="3"/>
        <v>90</v>
      </c>
      <c r="AI14" s="27">
        <f t="shared" si="4"/>
        <v>130</v>
      </c>
      <c r="AJ14" s="27">
        <f t="shared" si="5"/>
        <v>260</v>
      </c>
      <c r="AK14" s="27">
        <f t="shared" si="6"/>
        <v>200</v>
      </c>
      <c r="AL14" s="27" t="str">
        <f t="shared" si="7"/>
        <v>-</v>
      </c>
    </row>
    <row r="15" spans="2:38" ht="15" customHeight="1">
      <c r="B15" s="180"/>
      <c r="C15" s="7">
        <v>11</v>
      </c>
      <c r="D15" s="70" t="s">
        <v>165</v>
      </c>
      <c r="E15" s="173"/>
      <c r="F15" s="173"/>
      <c r="G15" s="173"/>
      <c r="H15" s="6" t="s">
        <v>166</v>
      </c>
      <c r="I15" s="181"/>
      <c r="K15" s="7">
        <v>9</v>
      </c>
      <c r="L15" s="8" t="s">
        <v>167</v>
      </c>
      <c r="M15" s="170">
        <v>130</v>
      </c>
      <c r="N15" s="170"/>
      <c r="O15" s="170">
        <v>130</v>
      </c>
      <c r="P15" s="170"/>
      <c r="Q15" s="170">
        <v>130</v>
      </c>
      <c r="R15" s="170"/>
      <c r="S15" s="170">
        <v>90</v>
      </c>
      <c r="T15" s="170"/>
      <c r="U15" s="170">
        <v>90</v>
      </c>
      <c r="V15" s="170"/>
      <c r="W15" s="170" t="s">
        <v>112</v>
      </c>
      <c r="X15" s="170"/>
      <c r="Z15" s="15" t="str">
        <f t="shared" si="0"/>
        <v>Battu acier fermé</v>
      </c>
      <c r="AA15" s="13" t="str">
        <f t="shared" si="8"/>
        <v>BAF</v>
      </c>
      <c r="AB15" s="13" t="str">
        <f>I13</f>
        <v>NF EN 12699</v>
      </c>
      <c r="AC15" s="13">
        <f>B13</f>
        <v>4</v>
      </c>
      <c r="AD15" s="13">
        <f t="shared" si="9"/>
        <v>12</v>
      </c>
      <c r="AF15" s="13">
        <f t="shared" si="1"/>
        <v>12</v>
      </c>
      <c r="AG15" s="27">
        <f t="shared" si="2"/>
        <v>90</v>
      </c>
      <c r="AH15" s="27">
        <f t="shared" si="3"/>
        <v>90</v>
      </c>
      <c r="AI15" s="27">
        <f t="shared" si="4"/>
        <v>90</v>
      </c>
      <c r="AJ15" s="27">
        <f t="shared" si="5"/>
        <v>50</v>
      </c>
      <c r="AK15" s="27">
        <f t="shared" si="6"/>
        <v>90</v>
      </c>
      <c r="AL15" s="27" t="str">
        <f t="shared" si="7"/>
        <v>-</v>
      </c>
    </row>
    <row r="16" spans="2:38" ht="15" customHeight="1">
      <c r="B16" s="180"/>
      <c r="C16" s="7">
        <v>12</v>
      </c>
      <c r="D16" s="77" t="s">
        <v>168</v>
      </c>
      <c r="E16" s="77"/>
      <c r="F16" s="77"/>
      <c r="G16" s="77"/>
      <c r="H16" s="6" t="s">
        <v>169</v>
      </c>
      <c r="I16" s="130"/>
      <c r="K16" s="7">
        <v>10</v>
      </c>
      <c r="L16" s="8" t="s">
        <v>170</v>
      </c>
      <c r="M16" s="170">
        <v>170</v>
      </c>
      <c r="N16" s="170"/>
      <c r="O16" s="170">
        <v>170</v>
      </c>
      <c r="P16" s="170"/>
      <c r="Q16" s="170">
        <v>260</v>
      </c>
      <c r="R16" s="170"/>
      <c r="S16" s="170">
        <v>200</v>
      </c>
      <c r="T16" s="170"/>
      <c r="U16" s="170">
        <v>200</v>
      </c>
      <c r="V16" s="170"/>
      <c r="W16" s="170" t="s">
        <v>112</v>
      </c>
      <c r="X16" s="170"/>
      <c r="Z16" s="15" t="str">
        <f t="shared" si="0"/>
        <v>Battu acier ouvert</v>
      </c>
      <c r="AA16" s="13" t="str">
        <f t="shared" si="8"/>
        <v>BAO</v>
      </c>
      <c r="AB16" s="13" t="str">
        <f>I17</f>
        <v>NF EN 12699</v>
      </c>
      <c r="AC16" s="13">
        <f>B17</f>
        <v>5</v>
      </c>
      <c r="AD16" s="13">
        <f t="shared" si="9"/>
        <v>13</v>
      </c>
      <c r="AF16" s="13">
        <f t="shared" si="1"/>
        <v>13</v>
      </c>
      <c r="AG16" s="27">
        <f t="shared" si="2"/>
        <v>90</v>
      </c>
      <c r="AH16" s="27">
        <f t="shared" si="3"/>
        <v>90</v>
      </c>
      <c r="AI16" s="27">
        <f t="shared" si="4"/>
        <v>50</v>
      </c>
      <c r="AJ16" s="27">
        <f t="shared" si="5"/>
        <v>50</v>
      </c>
      <c r="AK16" s="27">
        <f t="shared" si="6"/>
        <v>90</v>
      </c>
      <c r="AL16" s="27">
        <f t="shared" si="7"/>
        <v>90</v>
      </c>
    </row>
    <row r="17" spans="2:38" ht="15" customHeight="1">
      <c r="B17" s="7">
        <v>5</v>
      </c>
      <c r="C17" s="7">
        <v>13</v>
      </c>
      <c r="D17" s="70" t="s">
        <v>171</v>
      </c>
      <c r="E17" s="173"/>
      <c r="F17" s="173"/>
      <c r="G17" s="173"/>
      <c r="H17" s="6" t="s">
        <v>172</v>
      </c>
      <c r="I17" s="6" t="s">
        <v>157</v>
      </c>
      <c r="K17" s="7">
        <v>11</v>
      </c>
      <c r="L17" s="8" t="s">
        <v>173</v>
      </c>
      <c r="M17" s="170">
        <v>90</v>
      </c>
      <c r="N17" s="170"/>
      <c r="O17" s="170">
        <v>90</v>
      </c>
      <c r="P17" s="170"/>
      <c r="Q17" s="170">
        <v>130</v>
      </c>
      <c r="R17" s="170"/>
      <c r="S17" s="170">
        <v>260</v>
      </c>
      <c r="T17" s="170"/>
      <c r="U17" s="170">
        <v>200</v>
      </c>
      <c r="V17" s="170"/>
      <c r="W17" s="170" t="s">
        <v>112</v>
      </c>
      <c r="X17" s="170"/>
      <c r="Z17" s="15" t="str">
        <f t="shared" si="0"/>
        <v>Profilé H battu</v>
      </c>
      <c r="AA17" s="13" t="str">
        <f t="shared" si="8"/>
        <v>HB</v>
      </c>
      <c r="AB17" s="13" t="str">
        <f>I18</f>
        <v>NF EN 12699</v>
      </c>
      <c r="AC17" s="13">
        <f>B18</f>
        <v>6</v>
      </c>
      <c r="AD17" s="13">
        <f t="shared" si="9"/>
        <v>14</v>
      </c>
      <c r="AF17" s="13">
        <f t="shared" si="1"/>
        <v>14</v>
      </c>
      <c r="AG17" s="27">
        <f t="shared" si="2"/>
        <v>90</v>
      </c>
      <c r="AH17" s="27">
        <f t="shared" si="3"/>
        <v>90</v>
      </c>
      <c r="AI17" s="27">
        <f t="shared" si="4"/>
        <v>130</v>
      </c>
      <c r="AJ17" s="27">
        <f t="shared" si="5"/>
        <v>50</v>
      </c>
      <c r="AK17" s="27">
        <f t="shared" si="6"/>
        <v>90</v>
      </c>
      <c r="AL17" s="27">
        <f t="shared" si="7"/>
        <v>90</v>
      </c>
    </row>
    <row r="18" spans="2:38" ht="15" customHeight="1">
      <c r="B18" s="180">
        <v>6</v>
      </c>
      <c r="C18" s="7">
        <v>14</v>
      </c>
      <c r="D18" s="70" t="s">
        <v>174</v>
      </c>
      <c r="E18" s="173"/>
      <c r="F18" s="173"/>
      <c r="G18" s="173"/>
      <c r="H18" s="6" t="s">
        <v>175</v>
      </c>
      <c r="I18" s="129" t="s">
        <v>157</v>
      </c>
      <c r="K18" s="7">
        <v>12</v>
      </c>
      <c r="L18" s="8" t="s">
        <v>176</v>
      </c>
      <c r="M18" s="170">
        <v>90</v>
      </c>
      <c r="N18" s="170"/>
      <c r="O18" s="170">
        <v>90</v>
      </c>
      <c r="P18" s="170"/>
      <c r="Q18" s="170">
        <v>90</v>
      </c>
      <c r="R18" s="170"/>
      <c r="S18" s="170">
        <v>50</v>
      </c>
      <c r="T18" s="170"/>
      <c r="U18" s="170">
        <v>90</v>
      </c>
      <c r="V18" s="170"/>
      <c r="W18" s="170" t="s">
        <v>112</v>
      </c>
      <c r="X18" s="170"/>
      <c r="Z18" s="15" t="str">
        <f t="shared" si="0"/>
        <v>Profilé H battu injecté</v>
      </c>
      <c r="AA18" s="13" t="str">
        <f t="shared" si="8"/>
        <v>Hbi</v>
      </c>
      <c r="AB18" s="13" t="str">
        <f>I18</f>
        <v>NF EN 12699</v>
      </c>
      <c r="AC18" s="13">
        <f>B18</f>
        <v>6</v>
      </c>
      <c r="AD18" s="13">
        <f t="shared" si="9"/>
        <v>15</v>
      </c>
      <c r="AF18" s="13">
        <f t="shared" si="1"/>
        <v>15</v>
      </c>
      <c r="AG18" s="27">
        <f t="shared" si="2"/>
        <v>200</v>
      </c>
      <c r="AH18" s="27">
        <f t="shared" si="3"/>
        <v>200</v>
      </c>
      <c r="AI18" s="27">
        <f t="shared" si="4"/>
        <v>380</v>
      </c>
      <c r="AJ18" s="27">
        <f t="shared" si="5"/>
        <v>320</v>
      </c>
      <c r="AK18" s="27">
        <f t="shared" si="6"/>
        <v>320</v>
      </c>
      <c r="AL18" s="27">
        <f t="shared" si="7"/>
        <v>320</v>
      </c>
    </row>
    <row r="19" spans="2:38" ht="15" customHeight="1">
      <c r="B19" s="180"/>
      <c r="C19" s="7">
        <v>15</v>
      </c>
      <c r="D19" s="70" t="s">
        <v>177</v>
      </c>
      <c r="E19" s="173"/>
      <c r="F19" s="173"/>
      <c r="G19" s="173"/>
      <c r="H19" s="6" t="s">
        <v>178</v>
      </c>
      <c r="I19" s="130"/>
      <c r="K19" s="7">
        <v>13</v>
      </c>
      <c r="L19" s="8" t="s">
        <v>179</v>
      </c>
      <c r="M19" s="170">
        <v>90</v>
      </c>
      <c r="N19" s="170"/>
      <c r="O19" s="170">
        <v>90</v>
      </c>
      <c r="P19" s="170"/>
      <c r="Q19" s="170">
        <v>50</v>
      </c>
      <c r="R19" s="170"/>
      <c r="S19" s="170">
        <v>50</v>
      </c>
      <c r="T19" s="170"/>
      <c r="U19" s="170">
        <v>90</v>
      </c>
      <c r="V19" s="170"/>
      <c r="W19" s="170">
        <v>90</v>
      </c>
      <c r="X19" s="170"/>
      <c r="Z19" s="15" t="str">
        <f t="shared" si="0"/>
        <v>Palplanches battues</v>
      </c>
      <c r="AA19" s="13" t="str">
        <f t="shared" si="8"/>
        <v>PP</v>
      </c>
      <c r="AB19" s="13" t="str">
        <f>I20</f>
        <v>NF EN 12699</v>
      </c>
      <c r="AC19" s="13">
        <f>B20</f>
        <v>7</v>
      </c>
      <c r="AD19" s="13">
        <f t="shared" si="9"/>
        <v>16</v>
      </c>
      <c r="AF19" s="13">
        <f t="shared" si="1"/>
        <v>16</v>
      </c>
      <c r="AG19" s="27">
        <f t="shared" si="2"/>
        <v>90</v>
      </c>
      <c r="AH19" s="27">
        <f t="shared" si="3"/>
        <v>90</v>
      </c>
      <c r="AI19" s="27">
        <f t="shared" si="4"/>
        <v>50</v>
      </c>
      <c r="AJ19" s="27">
        <f t="shared" si="5"/>
        <v>50</v>
      </c>
      <c r="AK19" s="27">
        <f t="shared" si="6"/>
        <v>90</v>
      </c>
      <c r="AL19" s="27">
        <f t="shared" si="7"/>
        <v>90</v>
      </c>
    </row>
    <row r="20" spans="2:38" ht="15" customHeight="1">
      <c r="B20" s="7">
        <v>7</v>
      </c>
      <c r="C20" s="7">
        <v>16</v>
      </c>
      <c r="D20" s="70" t="s">
        <v>180</v>
      </c>
      <c r="E20" s="173"/>
      <c r="F20" s="173"/>
      <c r="G20" s="173"/>
      <c r="H20" s="6" t="s">
        <v>181</v>
      </c>
      <c r="I20" s="6" t="s">
        <v>157</v>
      </c>
      <c r="K20" s="7">
        <v>14</v>
      </c>
      <c r="L20" s="8" t="s">
        <v>182</v>
      </c>
      <c r="M20" s="170">
        <v>90</v>
      </c>
      <c r="N20" s="170"/>
      <c r="O20" s="170">
        <v>90</v>
      </c>
      <c r="P20" s="170"/>
      <c r="Q20" s="170">
        <v>130</v>
      </c>
      <c r="R20" s="170"/>
      <c r="S20" s="170">
        <v>50</v>
      </c>
      <c r="T20" s="170"/>
      <c r="U20" s="170">
        <v>90</v>
      </c>
      <c r="V20" s="170"/>
      <c r="W20" s="170">
        <v>90</v>
      </c>
      <c r="X20" s="170"/>
      <c r="Z20" s="15" t="str">
        <f t="shared" si="0"/>
        <v>Micropieu type I</v>
      </c>
      <c r="AA20" s="13" t="str">
        <f t="shared" si="8"/>
        <v>M1</v>
      </c>
      <c r="AB20" s="15" t="str">
        <f>I21</f>
        <v>NF EN
1536/14199/12699</v>
      </c>
      <c r="AC20" s="13" t="str">
        <f>B21</f>
        <v>1 bis</v>
      </c>
      <c r="AD20" s="13">
        <f t="shared" si="9"/>
        <v>17</v>
      </c>
      <c r="AF20" s="13">
        <f t="shared" si="1"/>
        <v>17</v>
      </c>
      <c r="AG20" s="27" t="str">
        <f t="shared" si="2"/>
        <v>-</v>
      </c>
      <c r="AH20" s="27" t="str">
        <f t="shared" si="3"/>
        <v>-</v>
      </c>
      <c r="AI20" s="27" t="str">
        <f t="shared" si="4"/>
        <v>-</v>
      </c>
      <c r="AJ20" s="27" t="str">
        <f t="shared" si="5"/>
        <v>-</v>
      </c>
      <c r="AK20" s="27" t="str">
        <f t="shared" si="6"/>
        <v>-</v>
      </c>
      <c r="AL20" s="27" t="str">
        <f t="shared" si="7"/>
        <v>-</v>
      </c>
    </row>
    <row r="21" spans="2:38" ht="15" customHeight="1">
      <c r="B21" s="180" t="s">
        <v>183</v>
      </c>
      <c r="C21" s="7">
        <v>17</v>
      </c>
      <c r="D21" s="70" t="s">
        <v>184</v>
      </c>
      <c r="E21" s="173"/>
      <c r="F21" s="173"/>
      <c r="G21" s="173"/>
      <c r="H21" s="6" t="s">
        <v>185</v>
      </c>
      <c r="I21" s="125" t="s">
        <v>186</v>
      </c>
      <c r="K21" s="7">
        <v>15</v>
      </c>
      <c r="L21" s="8" t="s">
        <v>187</v>
      </c>
      <c r="M21" s="170">
        <v>200</v>
      </c>
      <c r="N21" s="170"/>
      <c r="O21" s="170">
        <v>200</v>
      </c>
      <c r="P21" s="170"/>
      <c r="Q21" s="170">
        <v>380</v>
      </c>
      <c r="R21" s="170"/>
      <c r="S21" s="170">
        <v>320</v>
      </c>
      <c r="T21" s="170"/>
      <c r="U21" s="170">
        <v>320</v>
      </c>
      <c r="V21" s="170"/>
      <c r="W21" s="170">
        <v>320</v>
      </c>
      <c r="X21" s="170"/>
      <c r="Z21" s="15" t="str">
        <f t="shared" si="0"/>
        <v>Micropieu type II</v>
      </c>
      <c r="AA21" s="13" t="str">
        <f t="shared" si="8"/>
        <v>M2</v>
      </c>
      <c r="AB21" s="15" t="str">
        <f>I21</f>
        <v>NF EN
1536/14199/12699</v>
      </c>
      <c r="AC21" s="13" t="str">
        <f>B21</f>
        <v>1 bis</v>
      </c>
      <c r="AD21" s="13">
        <f t="shared" si="9"/>
        <v>18</v>
      </c>
      <c r="AF21" s="13">
        <f t="shared" si="1"/>
        <v>18</v>
      </c>
      <c r="AG21" s="27" t="str">
        <f t="shared" si="2"/>
        <v>-</v>
      </c>
      <c r="AH21" s="27" t="str">
        <f t="shared" si="3"/>
        <v>-</v>
      </c>
      <c r="AI21" s="27" t="str">
        <f t="shared" si="4"/>
        <v>-</v>
      </c>
      <c r="AJ21" s="27" t="str">
        <f t="shared" si="5"/>
        <v>-</v>
      </c>
      <c r="AK21" s="27" t="str">
        <f t="shared" si="6"/>
        <v>-</v>
      </c>
      <c r="AL21" s="27" t="str">
        <f t="shared" si="7"/>
        <v>-</v>
      </c>
    </row>
    <row r="22" spans="2:38" ht="15" customHeight="1">
      <c r="B22" s="180"/>
      <c r="C22" s="7">
        <v>18</v>
      </c>
      <c r="D22" s="70" t="s">
        <v>188</v>
      </c>
      <c r="E22" s="173"/>
      <c r="F22" s="173"/>
      <c r="G22" s="173"/>
      <c r="H22" s="6" t="s">
        <v>189</v>
      </c>
      <c r="I22" s="181"/>
      <c r="K22" s="7">
        <v>16</v>
      </c>
      <c r="L22" s="8" t="s">
        <v>190</v>
      </c>
      <c r="M22" s="170">
        <v>90</v>
      </c>
      <c r="N22" s="170"/>
      <c r="O22" s="170">
        <v>90</v>
      </c>
      <c r="P22" s="170"/>
      <c r="Q22" s="170">
        <v>50</v>
      </c>
      <c r="R22" s="170"/>
      <c r="S22" s="170">
        <v>50</v>
      </c>
      <c r="T22" s="170"/>
      <c r="U22" s="170">
        <v>90</v>
      </c>
      <c r="V22" s="170"/>
      <c r="W22" s="170">
        <v>90</v>
      </c>
      <c r="X22" s="170"/>
      <c r="Z22" s="15" t="str">
        <f t="shared" si="0"/>
        <v>Pieu ou micropieux injecté mode IGU (type III)</v>
      </c>
      <c r="AA22" s="13" t="str">
        <f t="shared" si="8"/>
        <v>PIGU, MIGU</v>
      </c>
      <c r="AB22" s="15" t="str">
        <f>I21</f>
        <v>NF EN
1536/14199/12699</v>
      </c>
      <c r="AC22" s="13">
        <f>B23</f>
        <v>8</v>
      </c>
      <c r="AD22" s="13">
        <f t="shared" si="9"/>
        <v>19</v>
      </c>
      <c r="AF22" s="13">
        <f t="shared" si="1"/>
        <v>19</v>
      </c>
      <c r="AG22" s="27">
        <f t="shared" si="2"/>
        <v>200</v>
      </c>
      <c r="AH22" s="27">
        <f t="shared" si="3"/>
        <v>200</v>
      </c>
      <c r="AI22" s="27">
        <f t="shared" si="4"/>
        <v>380</v>
      </c>
      <c r="AJ22" s="27">
        <f t="shared" si="5"/>
        <v>320</v>
      </c>
      <c r="AK22" s="27">
        <f t="shared" si="6"/>
        <v>320</v>
      </c>
      <c r="AL22" s="27">
        <f t="shared" si="7"/>
        <v>320</v>
      </c>
    </row>
    <row r="23" spans="2:38" ht="15" customHeight="1">
      <c r="B23" s="180">
        <v>8</v>
      </c>
      <c r="C23" s="7">
        <v>19</v>
      </c>
      <c r="D23" s="70" t="s">
        <v>191</v>
      </c>
      <c r="E23" s="173"/>
      <c r="F23" s="173"/>
      <c r="G23" s="173"/>
      <c r="H23" s="6" t="s">
        <v>192</v>
      </c>
      <c r="I23" s="181"/>
      <c r="K23" s="7">
        <v>17</v>
      </c>
      <c r="L23" s="8" t="s">
        <v>185</v>
      </c>
      <c r="M23" s="170" t="s">
        <v>112</v>
      </c>
      <c r="N23" s="170"/>
      <c r="O23" s="170" t="s">
        <v>112</v>
      </c>
      <c r="P23" s="170"/>
      <c r="Q23" s="170" t="s">
        <v>112</v>
      </c>
      <c r="R23" s="170"/>
      <c r="S23" s="170" t="s">
        <v>112</v>
      </c>
      <c r="T23" s="170"/>
      <c r="U23" s="170" t="s">
        <v>112</v>
      </c>
      <c r="V23" s="170"/>
      <c r="W23" s="170" t="s">
        <v>112</v>
      </c>
      <c r="X23" s="170"/>
      <c r="Z23" s="15" t="str">
        <f t="shared" si="0"/>
        <v>Pieu ou micropieu injecté mode IRS (type IV)</v>
      </c>
      <c r="AA23" s="13" t="str">
        <f t="shared" si="8"/>
        <v>PIRS, MIRS</v>
      </c>
      <c r="AB23" s="15" t="str">
        <f>I21</f>
        <v>NF EN
1536/14199/12699</v>
      </c>
      <c r="AC23" s="13">
        <f>B23</f>
        <v>8</v>
      </c>
      <c r="AD23" s="13">
        <f t="shared" si="9"/>
        <v>20</v>
      </c>
      <c r="AF23" s="13">
        <f t="shared" si="1"/>
        <v>20</v>
      </c>
      <c r="AG23" s="27">
        <f t="shared" si="2"/>
        <v>200</v>
      </c>
      <c r="AH23" s="27">
        <f t="shared" si="3"/>
        <v>200</v>
      </c>
      <c r="AI23" s="27">
        <f t="shared" si="4"/>
        <v>440</v>
      </c>
      <c r="AJ23" s="27">
        <f t="shared" si="5"/>
        <v>440</v>
      </c>
      <c r="AK23" s="27">
        <f t="shared" si="6"/>
        <v>440</v>
      </c>
      <c r="AL23" s="27">
        <f t="shared" si="7"/>
        <v>500</v>
      </c>
    </row>
    <row r="24" spans="2:38" ht="15" customHeight="1">
      <c r="B24" s="180"/>
      <c r="C24" s="7">
        <v>20</v>
      </c>
      <c r="D24" s="77" t="s">
        <v>193</v>
      </c>
      <c r="E24" s="77"/>
      <c r="F24" s="77"/>
      <c r="G24" s="77"/>
      <c r="H24" s="6" t="s">
        <v>194</v>
      </c>
      <c r="I24" s="130"/>
      <c r="K24" s="7">
        <v>18</v>
      </c>
      <c r="L24" s="8" t="s">
        <v>189</v>
      </c>
      <c r="M24" s="170" t="s">
        <v>112</v>
      </c>
      <c r="N24" s="170"/>
      <c r="O24" s="170" t="s">
        <v>112</v>
      </c>
      <c r="P24" s="170"/>
      <c r="Q24" s="170" t="s">
        <v>112</v>
      </c>
      <c r="R24" s="170"/>
      <c r="S24" s="170" t="s">
        <v>112</v>
      </c>
      <c r="T24" s="170"/>
      <c r="U24" s="170" t="s">
        <v>112</v>
      </c>
      <c r="V24" s="170"/>
      <c r="W24" s="170" t="s">
        <v>112</v>
      </c>
      <c r="X24" s="170"/>
    </row>
    <row r="25" spans="2:38" ht="15" customHeight="1">
      <c r="K25" s="7">
        <v>19</v>
      </c>
      <c r="L25" s="8" t="s">
        <v>192</v>
      </c>
      <c r="M25" s="170">
        <v>200</v>
      </c>
      <c r="N25" s="170"/>
      <c r="O25" s="170">
        <v>200</v>
      </c>
      <c r="P25" s="170"/>
      <c r="Q25" s="170">
        <v>380</v>
      </c>
      <c r="R25" s="170"/>
      <c r="S25" s="170">
        <v>320</v>
      </c>
      <c r="T25" s="170"/>
      <c r="U25" s="170">
        <v>320</v>
      </c>
      <c r="V25" s="170"/>
      <c r="W25" s="170">
        <v>320</v>
      </c>
      <c r="X25" s="170"/>
      <c r="Z25" s="161" t="str">
        <f>M5</f>
        <v>Argile % CaCO3 &lt; 30 % Limon</v>
      </c>
      <c r="AA25" s="162"/>
      <c r="AB25" s="163"/>
    </row>
    <row r="26" spans="2:38" ht="15" customHeight="1">
      <c r="B26" s="166" t="s">
        <v>195</v>
      </c>
      <c r="C26" s="166"/>
      <c r="D26" s="166"/>
      <c r="E26" s="166"/>
      <c r="F26" s="166"/>
      <c r="G26" s="166"/>
      <c r="K26" s="7">
        <v>20</v>
      </c>
      <c r="L26" s="8" t="s">
        <v>194</v>
      </c>
      <c r="M26" s="170">
        <v>200</v>
      </c>
      <c r="N26" s="170"/>
      <c r="O26" s="170">
        <v>200</v>
      </c>
      <c r="P26" s="170"/>
      <c r="Q26" s="170">
        <v>440</v>
      </c>
      <c r="R26" s="170"/>
      <c r="S26" s="170">
        <v>440</v>
      </c>
      <c r="T26" s="170"/>
      <c r="U26" s="170">
        <v>440</v>
      </c>
      <c r="V26" s="170"/>
      <c r="W26" s="170">
        <v>500</v>
      </c>
      <c r="X26" s="170"/>
      <c r="Z26" s="161" t="str">
        <f>O5</f>
        <v>Sols intermédiaires</v>
      </c>
      <c r="AA26" s="162"/>
      <c r="AB26" s="163"/>
    </row>
    <row r="27" spans="2:38" ht="15" customHeight="1">
      <c r="B27" s="166"/>
      <c r="C27" s="166"/>
      <c r="D27" s="166"/>
      <c r="E27" s="166"/>
      <c r="F27" s="166"/>
      <c r="G27" s="166"/>
      <c r="Z27" s="161" t="str">
        <f>Q5</f>
        <v>Sable Grave</v>
      </c>
      <c r="AA27" s="162"/>
      <c r="AB27" s="163"/>
    </row>
    <row r="28" spans="2:38" ht="15" customHeight="1">
      <c r="B28" s="174" t="s">
        <v>196</v>
      </c>
      <c r="C28" s="175"/>
      <c r="D28" s="24" t="s">
        <v>197</v>
      </c>
      <c r="E28" s="24" t="s">
        <v>198</v>
      </c>
      <c r="F28" s="24" t="s">
        <v>199</v>
      </c>
      <c r="G28" s="24" t="s">
        <v>200</v>
      </c>
      <c r="K28" s="166" t="s">
        <v>201</v>
      </c>
      <c r="L28" s="166"/>
      <c r="M28" s="166"/>
      <c r="N28" s="166"/>
      <c r="O28" s="166"/>
      <c r="Z28" s="161" t="str">
        <f>S5</f>
        <v>Craie</v>
      </c>
      <c r="AA28" s="162"/>
      <c r="AB28" s="163"/>
    </row>
    <row r="29" spans="2:38" ht="15" customHeight="1">
      <c r="B29" s="174" t="s">
        <v>202</v>
      </c>
      <c r="C29" s="175"/>
      <c r="D29" s="25" t="s">
        <v>89</v>
      </c>
      <c r="E29" s="4">
        <v>1.1000000000000001</v>
      </c>
      <c r="F29" s="4">
        <v>1.1000000000000001</v>
      </c>
      <c r="G29" s="4">
        <v>1.1000000000000001</v>
      </c>
      <c r="K29" s="166"/>
      <c r="L29" s="166"/>
      <c r="M29" s="166"/>
      <c r="N29" s="166"/>
      <c r="O29" s="166"/>
      <c r="Z29" s="161" t="str">
        <f>U5</f>
        <v>Marne et Calcaire-Marneux</v>
      </c>
      <c r="AA29" s="162"/>
      <c r="AB29" s="163"/>
    </row>
    <row r="30" spans="2:38" ht="15" customHeight="1">
      <c r="B30" s="174" t="s">
        <v>203</v>
      </c>
      <c r="C30" s="175"/>
      <c r="D30" s="25" t="s">
        <v>91</v>
      </c>
      <c r="E30" s="4">
        <v>1.1000000000000001</v>
      </c>
      <c r="F30" s="4">
        <v>1.1000000000000001</v>
      </c>
      <c r="G30" s="4">
        <v>1.1000000000000001</v>
      </c>
      <c r="K30" s="176" t="s">
        <v>196</v>
      </c>
      <c r="L30" s="176"/>
      <c r="M30" s="176"/>
      <c r="N30" s="24" t="s">
        <v>197</v>
      </c>
      <c r="O30" s="24" t="s">
        <v>204</v>
      </c>
      <c r="Z30" s="164" t="str">
        <f>W5</f>
        <v>Roche altérée ou fragmentée</v>
      </c>
      <c r="AA30" s="164"/>
      <c r="AB30" s="164"/>
    </row>
    <row r="31" spans="2:38" ht="15" customHeight="1">
      <c r="B31" s="174" t="s">
        <v>205</v>
      </c>
      <c r="C31" s="175"/>
      <c r="D31" s="25" t="s">
        <v>95</v>
      </c>
      <c r="E31" s="4">
        <v>1.1000000000000001</v>
      </c>
      <c r="F31" s="4">
        <v>1.1000000000000001</v>
      </c>
      <c r="G31" s="4">
        <v>1.1000000000000001</v>
      </c>
      <c r="K31" s="176" t="s">
        <v>206</v>
      </c>
      <c r="L31" s="176"/>
      <c r="M31" s="176"/>
      <c r="N31" s="25" t="s">
        <v>109</v>
      </c>
      <c r="O31" s="4">
        <v>0.9</v>
      </c>
    </row>
    <row r="32" spans="2:38" ht="15" customHeight="1">
      <c r="B32" s="174" t="s">
        <v>207</v>
      </c>
      <c r="C32" s="175"/>
      <c r="D32" s="25" t="s">
        <v>98</v>
      </c>
      <c r="E32" s="4">
        <v>1.1499999999999999</v>
      </c>
      <c r="F32" s="4">
        <v>1.1499999999999999</v>
      </c>
      <c r="G32" s="4">
        <v>1.1499999999999999</v>
      </c>
      <c r="K32" s="176" t="s">
        <v>208</v>
      </c>
      <c r="L32" s="176"/>
      <c r="M32" s="176"/>
      <c r="N32" s="25" t="s">
        <v>113</v>
      </c>
      <c r="O32" s="4">
        <v>1.1000000000000001</v>
      </c>
    </row>
    <row r="33" spans="2:15" ht="15" customHeight="1">
      <c r="B33" s="177" t="s">
        <v>209</v>
      </c>
      <c r="C33" s="178"/>
      <c r="D33" s="178"/>
      <c r="E33" s="178"/>
      <c r="F33" s="178"/>
      <c r="G33" s="178"/>
    </row>
    <row r="34" spans="2:15" ht="15" customHeight="1">
      <c r="K34" s="166" t="s">
        <v>201</v>
      </c>
      <c r="L34" s="166"/>
      <c r="M34" s="166"/>
      <c r="N34" s="166"/>
      <c r="O34" s="166"/>
    </row>
    <row r="35" spans="2:15" ht="15" customHeight="1">
      <c r="B35" s="166" t="s">
        <v>210</v>
      </c>
      <c r="C35" s="166"/>
      <c r="D35" s="166"/>
      <c r="E35" s="166"/>
      <c r="F35" s="166"/>
      <c r="G35" s="166"/>
      <c r="K35" s="166"/>
      <c r="L35" s="166"/>
      <c r="M35" s="166"/>
      <c r="N35" s="166"/>
      <c r="O35" s="166"/>
    </row>
    <row r="36" spans="2:15" ht="15" customHeight="1">
      <c r="B36" s="166"/>
      <c r="C36" s="166"/>
      <c r="D36" s="166"/>
      <c r="E36" s="166"/>
      <c r="F36" s="166"/>
      <c r="G36" s="166"/>
      <c r="K36" s="176" t="s">
        <v>196</v>
      </c>
      <c r="L36" s="176"/>
      <c r="M36" s="176"/>
      <c r="N36" s="24" t="s">
        <v>197</v>
      </c>
      <c r="O36" s="24" t="s">
        <v>204</v>
      </c>
    </row>
    <row r="37" spans="2:15" ht="15" customHeight="1">
      <c r="B37" s="174" t="s">
        <v>196</v>
      </c>
      <c r="C37" s="175"/>
      <c r="D37" s="24" t="s">
        <v>197</v>
      </c>
      <c r="E37" s="24" t="s">
        <v>198</v>
      </c>
      <c r="F37" s="24" t="s">
        <v>199</v>
      </c>
      <c r="G37" s="24" t="s">
        <v>200</v>
      </c>
      <c r="K37" s="176" t="s">
        <v>206</v>
      </c>
      <c r="L37" s="176"/>
      <c r="M37" s="176"/>
      <c r="N37" s="25" t="s">
        <v>109</v>
      </c>
      <c r="O37" s="4">
        <v>1.1000000000000001</v>
      </c>
    </row>
    <row r="38" spans="2:15" ht="15" customHeight="1">
      <c r="B38" s="174" t="s">
        <v>202</v>
      </c>
      <c r="C38" s="175"/>
      <c r="D38" s="25" t="s">
        <v>89</v>
      </c>
      <c r="E38" s="4">
        <v>1</v>
      </c>
      <c r="F38" s="4">
        <v>1</v>
      </c>
      <c r="G38" s="4">
        <v>1</v>
      </c>
      <c r="K38" s="176" t="s">
        <v>208</v>
      </c>
      <c r="L38" s="176"/>
      <c r="M38" s="176"/>
      <c r="N38" s="25" t="s">
        <v>113</v>
      </c>
      <c r="O38" s="4">
        <v>1.5</v>
      </c>
    </row>
    <row r="39" spans="2:15" ht="15" customHeight="1">
      <c r="B39" s="174" t="s">
        <v>211</v>
      </c>
      <c r="C39" s="175"/>
      <c r="D39" s="25" t="s">
        <v>91</v>
      </c>
      <c r="E39" s="4">
        <v>1</v>
      </c>
      <c r="F39" s="4">
        <v>1</v>
      </c>
      <c r="G39" s="4">
        <v>1</v>
      </c>
    </row>
    <row r="40" spans="2:15" ht="15" customHeight="1">
      <c r="B40" s="174" t="s">
        <v>212</v>
      </c>
      <c r="C40" s="175"/>
      <c r="D40" s="25" t="s">
        <v>95</v>
      </c>
      <c r="E40" s="4">
        <v>1</v>
      </c>
      <c r="F40" s="4">
        <v>1</v>
      </c>
      <c r="G40" s="4">
        <v>1</v>
      </c>
    </row>
    <row r="41" spans="2:15" ht="15" customHeight="1">
      <c r="B41" s="174" t="s">
        <v>213</v>
      </c>
      <c r="C41" s="175"/>
      <c r="D41" s="25" t="s">
        <v>98</v>
      </c>
      <c r="E41" s="4">
        <v>1.05</v>
      </c>
      <c r="F41" s="4">
        <v>1.05</v>
      </c>
      <c r="G41" s="4">
        <v>1.05</v>
      </c>
    </row>
    <row r="42" spans="2:15" ht="15" customHeight="1"/>
    <row r="43" spans="2:15" ht="15" customHeight="1"/>
    <row r="44" spans="2:15" ht="15" customHeight="1"/>
    <row r="45" spans="2:15" ht="15" customHeight="1"/>
    <row r="57" customFormat="1" ht="15" customHeight="1"/>
    <row r="58" customFormat="1" ht="15" customHeight="1"/>
    <row r="59" customFormat="1" ht="15" customHeight="1"/>
  </sheetData>
  <mergeCells count="192">
    <mergeCell ref="B40:C40"/>
    <mergeCell ref="B41:C41"/>
    <mergeCell ref="B5:B9"/>
    <mergeCell ref="B11:B12"/>
    <mergeCell ref="B13:B16"/>
    <mergeCell ref="B18:B19"/>
    <mergeCell ref="B21:B22"/>
    <mergeCell ref="B23:B24"/>
    <mergeCell ref="I5:I9"/>
    <mergeCell ref="I11:I12"/>
    <mergeCell ref="I13:I16"/>
    <mergeCell ref="I18:I19"/>
    <mergeCell ref="I21:I24"/>
    <mergeCell ref="B26:G27"/>
    <mergeCell ref="B35:G36"/>
    <mergeCell ref="B32:C32"/>
    <mergeCell ref="K32:M32"/>
    <mergeCell ref="B33:G33"/>
    <mergeCell ref="K36:M36"/>
    <mergeCell ref="B37:C37"/>
    <mergeCell ref="K37:M37"/>
    <mergeCell ref="B38:C38"/>
    <mergeCell ref="K38:M38"/>
    <mergeCell ref="B39:C39"/>
    <mergeCell ref="K34:O35"/>
    <mergeCell ref="B28:C28"/>
    <mergeCell ref="Z28:AB28"/>
    <mergeCell ref="B29:C29"/>
    <mergeCell ref="Z29:AB29"/>
    <mergeCell ref="B30:C30"/>
    <mergeCell ref="K30:M30"/>
    <mergeCell ref="Z30:AB30"/>
    <mergeCell ref="B31:C31"/>
    <mergeCell ref="K31:M31"/>
    <mergeCell ref="K28:O29"/>
    <mergeCell ref="Z25:AB25"/>
    <mergeCell ref="M26:N26"/>
    <mergeCell ref="O26:P26"/>
    <mergeCell ref="Q26:R26"/>
    <mergeCell ref="S26:T26"/>
    <mergeCell ref="U26:V26"/>
    <mergeCell ref="W26:X26"/>
    <mergeCell ref="Z26:AB26"/>
    <mergeCell ref="Z27:AB27"/>
    <mergeCell ref="D24:G24"/>
    <mergeCell ref="M24:N24"/>
    <mergeCell ref="O24:P24"/>
    <mergeCell ref="Q24:R24"/>
    <mergeCell ref="S24:T24"/>
    <mergeCell ref="U24:V24"/>
    <mergeCell ref="W24:X24"/>
    <mergeCell ref="M25:N25"/>
    <mergeCell ref="O25:P25"/>
    <mergeCell ref="Q25:R25"/>
    <mergeCell ref="S25:T25"/>
    <mergeCell ref="U25:V25"/>
    <mergeCell ref="W25:X25"/>
    <mergeCell ref="D22:G22"/>
    <mergeCell ref="M22:N22"/>
    <mergeCell ref="O22:P22"/>
    <mergeCell ref="Q22:R22"/>
    <mergeCell ref="S22:T22"/>
    <mergeCell ref="U22:V22"/>
    <mergeCell ref="W22:X22"/>
    <mergeCell ref="D23:G23"/>
    <mergeCell ref="M23:N23"/>
    <mergeCell ref="O23:P23"/>
    <mergeCell ref="Q23:R23"/>
    <mergeCell ref="S23:T23"/>
    <mergeCell ref="U23:V23"/>
    <mergeCell ref="W23:X23"/>
    <mergeCell ref="D20:G20"/>
    <mergeCell ref="M20:N20"/>
    <mergeCell ref="O20:P20"/>
    <mergeCell ref="Q20:R20"/>
    <mergeCell ref="S20:T20"/>
    <mergeCell ref="U20:V20"/>
    <mergeCell ref="W20:X20"/>
    <mergeCell ref="D21:G21"/>
    <mergeCell ref="M21:N21"/>
    <mergeCell ref="O21:P21"/>
    <mergeCell ref="Q21:R21"/>
    <mergeCell ref="S21:T21"/>
    <mergeCell ref="U21:V21"/>
    <mergeCell ref="W21:X21"/>
    <mergeCell ref="D18:G18"/>
    <mergeCell ref="M18:N18"/>
    <mergeCell ref="O18:P18"/>
    <mergeCell ref="Q18:R18"/>
    <mergeCell ref="S18:T18"/>
    <mergeCell ref="U18:V18"/>
    <mergeCell ref="W18:X18"/>
    <mergeCell ref="D19:G19"/>
    <mergeCell ref="M19:N19"/>
    <mergeCell ref="O19:P19"/>
    <mergeCell ref="Q19:R19"/>
    <mergeCell ref="S19:T19"/>
    <mergeCell ref="U19:V19"/>
    <mergeCell ref="W19:X19"/>
    <mergeCell ref="D16:G16"/>
    <mergeCell ref="M16:N16"/>
    <mergeCell ref="O16:P16"/>
    <mergeCell ref="Q16:R16"/>
    <mergeCell ref="S16:T16"/>
    <mergeCell ref="U16:V16"/>
    <mergeCell ref="W16:X16"/>
    <mergeCell ref="D17:G17"/>
    <mergeCell ref="M17:N17"/>
    <mergeCell ref="O17:P17"/>
    <mergeCell ref="Q17:R17"/>
    <mergeCell ref="S17:T17"/>
    <mergeCell ref="U17:V17"/>
    <mergeCell ref="W17:X17"/>
    <mergeCell ref="D14:G14"/>
    <mergeCell ref="M14:N14"/>
    <mergeCell ref="O14:P14"/>
    <mergeCell ref="Q14:R14"/>
    <mergeCell ref="S14:T14"/>
    <mergeCell ref="U14:V14"/>
    <mergeCell ref="W14:X14"/>
    <mergeCell ref="D15:G15"/>
    <mergeCell ref="M15:N15"/>
    <mergeCell ref="O15:P15"/>
    <mergeCell ref="Q15:R15"/>
    <mergeCell ref="S15:T15"/>
    <mergeCell ref="U15:V15"/>
    <mergeCell ref="W15:X15"/>
    <mergeCell ref="D12:G12"/>
    <mergeCell ref="M12:N12"/>
    <mergeCell ref="O12:P12"/>
    <mergeCell ref="Q12:R12"/>
    <mergeCell ref="S12:T12"/>
    <mergeCell ref="U12:V12"/>
    <mergeCell ref="W12:X12"/>
    <mergeCell ref="D13:G13"/>
    <mergeCell ref="M13:N13"/>
    <mergeCell ref="O13:P13"/>
    <mergeCell ref="Q13:R13"/>
    <mergeCell ref="S13:T13"/>
    <mergeCell ref="U13:V13"/>
    <mergeCell ref="W13:X13"/>
    <mergeCell ref="D10:G10"/>
    <mergeCell ref="M10:N10"/>
    <mergeCell ref="O10:P10"/>
    <mergeCell ref="Q10:R10"/>
    <mergeCell ref="S10:T10"/>
    <mergeCell ref="U10:V10"/>
    <mergeCell ref="W10:X10"/>
    <mergeCell ref="D11:G11"/>
    <mergeCell ref="M11:N11"/>
    <mergeCell ref="O11:P11"/>
    <mergeCell ref="Q11:R11"/>
    <mergeCell ref="S11:T11"/>
    <mergeCell ref="U11:V11"/>
    <mergeCell ref="W11:X11"/>
    <mergeCell ref="D8:G8"/>
    <mergeCell ref="M8:N8"/>
    <mergeCell ref="O8:P8"/>
    <mergeCell ref="Q8:R8"/>
    <mergeCell ref="S8:T8"/>
    <mergeCell ref="U8:V8"/>
    <mergeCell ref="W8:X8"/>
    <mergeCell ref="D9:G9"/>
    <mergeCell ref="M9:N9"/>
    <mergeCell ref="O9:P9"/>
    <mergeCell ref="Q9:R9"/>
    <mergeCell ref="S9:T9"/>
    <mergeCell ref="U9:V9"/>
    <mergeCell ref="W9:X9"/>
    <mergeCell ref="Z2:AD2"/>
    <mergeCell ref="AF2:AL2"/>
    <mergeCell ref="B3:I3"/>
    <mergeCell ref="K3:X3"/>
    <mergeCell ref="D4:G4"/>
    <mergeCell ref="M4:X4"/>
    <mergeCell ref="D5:G5"/>
    <mergeCell ref="D6:G6"/>
    <mergeCell ref="D7:G7"/>
    <mergeCell ref="M7:N7"/>
    <mergeCell ref="O7:P7"/>
    <mergeCell ref="Q7:R7"/>
    <mergeCell ref="S7:T7"/>
    <mergeCell ref="U7:V7"/>
    <mergeCell ref="W7:X7"/>
    <mergeCell ref="K4:K6"/>
    <mergeCell ref="L4:L6"/>
    <mergeCell ref="M5:N6"/>
    <mergeCell ref="O5:P6"/>
    <mergeCell ref="Q5:R6"/>
    <mergeCell ref="S5:T6"/>
    <mergeCell ref="U5:V6"/>
    <mergeCell ref="W5:X6"/>
  </mergeCells>
  <pageMargins left="0.7" right="0.7" top="0.75" bottom="0.75" header="0.3" footer="0.3"/>
  <pageSetup paperSize="9" orientation="portrait"/>
  <ignoredErrors>
    <ignoredError sqref="AB11:AC12 AB18:AC18 AC21:AC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59"/>
  <sheetViews>
    <sheetView showGridLines="0" topLeftCell="A51" workbookViewId="0">
      <selection activeCell="D7" sqref="D7:E7"/>
    </sheetView>
  </sheetViews>
  <sheetFormatPr defaultColWidth="11" defaultRowHeight="14.4" outlineLevelCol="1"/>
  <cols>
    <col min="1" max="1" width="5.6640625" customWidth="1"/>
    <col min="14" max="14" width="5.6640625" customWidth="1"/>
    <col min="34" max="45" width="11.44140625" hidden="1" customWidth="1" outlineLevel="1"/>
    <col min="46" max="46" width="11.44140625" collapsed="1"/>
  </cols>
  <sheetData>
    <row r="1" spans="2:45" ht="21">
      <c r="B1" s="1" t="s">
        <v>214</v>
      </c>
    </row>
    <row r="2" spans="2:45" ht="15" customHeight="1">
      <c r="AH2" s="164" t="str">
        <f>B3</f>
        <v>Tableau F.4.2.1 - Valeur du facteur de portance pressiométrique kpmax pour un encastrement relatif Def/B &gt;5</v>
      </c>
      <c r="AI2" s="164"/>
      <c r="AJ2" s="164"/>
      <c r="AK2" s="164"/>
      <c r="AL2" s="164"/>
      <c r="AM2" s="164"/>
      <c r="AN2" s="164"/>
      <c r="AP2" s="164" t="str">
        <f>O3</f>
        <v>Tableau F.2.1 - Valeur des coefficients de modèle pour la méthode pressiométrique</v>
      </c>
      <c r="AQ2" s="164"/>
      <c r="AR2" s="164"/>
      <c r="AS2" s="164"/>
    </row>
    <row r="3" spans="2:45" ht="18" customHeight="1">
      <c r="B3" s="166" t="s">
        <v>215</v>
      </c>
      <c r="C3" s="166"/>
      <c r="D3" s="166"/>
      <c r="E3" s="166"/>
      <c r="F3" s="166"/>
      <c r="G3" s="166"/>
      <c r="H3" s="166"/>
      <c r="I3" s="166"/>
      <c r="J3" s="166"/>
      <c r="K3" s="166"/>
      <c r="L3" s="166"/>
      <c r="M3" s="166"/>
      <c r="O3" s="182" t="s">
        <v>216</v>
      </c>
      <c r="P3" s="182"/>
      <c r="Q3" s="182"/>
      <c r="R3" s="182"/>
      <c r="S3" s="182"/>
      <c r="T3" s="182"/>
      <c r="U3" s="182"/>
      <c r="AH3" s="14" t="s">
        <v>131</v>
      </c>
      <c r="AI3" s="15" t="str">
        <f>'Tableaux généraux'!$Z$25</f>
        <v>Argile % CaCO3 &lt; 30 % Limon</v>
      </c>
      <c r="AJ3" s="19" t="str">
        <f>'Tableaux généraux'!$Z$26</f>
        <v>Sols intermédiaires</v>
      </c>
      <c r="AK3" s="15" t="str">
        <f>'Tableaux généraux'!$Z$27</f>
        <v>Sable Grave</v>
      </c>
      <c r="AL3" s="15" t="str">
        <f>'Tableaux généraux'!$Z$28</f>
        <v>Craie</v>
      </c>
      <c r="AM3" s="15" t="str">
        <f>'Tableaux généraux'!$Z$29</f>
        <v>Marne et Calcaire-Marneux</v>
      </c>
      <c r="AN3" s="15" t="str">
        <f>'Tableaux généraux'!$Z$30</f>
        <v>Roche altérée ou fragmentée</v>
      </c>
      <c r="AP3" s="161" t="s">
        <v>17</v>
      </c>
      <c r="AQ3" s="162"/>
      <c r="AR3" s="163"/>
      <c r="AS3" s="13" t="str">
        <f>Calculs!G15</f>
        <v>Compression</v>
      </c>
    </row>
    <row r="4" spans="2:45">
      <c r="B4" s="169" t="s">
        <v>217</v>
      </c>
      <c r="C4" s="169"/>
      <c r="D4" s="143" t="s">
        <v>218</v>
      </c>
      <c r="E4" s="143"/>
      <c r="F4" s="143" t="s">
        <v>219</v>
      </c>
      <c r="G4" s="143"/>
      <c r="H4" s="143" t="s">
        <v>142</v>
      </c>
      <c r="I4" s="143"/>
      <c r="J4" s="143" t="s">
        <v>80</v>
      </c>
      <c r="K4" s="143"/>
      <c r="L4" s="143" t="s">
        <v>220</v>
      </c>
      <c r="M4" s="143"/>
      <c r="O4" s="183"/>
      <c r="P4" s="183"/>
      <c r="Q4" s="183"/>
      <c r="R4" s="198" t="s">
        <v>221</v>
      </c>
      <c r="S4" s="198"/>
      <c r="T4" s="198" t="s">
        <v>222</v>
      </c>
      <c r="U4" s="198"/>
      <c r="AH4" s="13">
        <f t="shared" ref="AH4:AH11" si="0">B6</f>
        <v>1</v>
      </c>
      <c r="AI4" s="16">
        <f t="shared" ref="AI4:AI11" si="1">D6</f>
        <v>1.1499999999999999</v>
      </c>
      <c r="AJ4" s="20">
        <f>AK4</f>
        <v>1.1000000000000001</v>
      </c>
      <c r="AK4" s="16">
        <f t="shared" ref="AK4:AK11" si="2">F6</f>
        <v>1.1000000000000001</v>
      </c>
      <c r="AL4" s="16">
        <f t="shared" ref="AL4:AL11" si="3">H6</f>
        <v>1.45</v>
      </c>
      <c r="AM4" s="16">
        <f t="shared" ref="AM4:AM11" si="4">J6</f>
        <v>1.45</v>
      </c>
      <c r="AN4" s="16">
        <f t="shared" ref="AN4:AN11" si="5">L6</f>
        <v>1.45</v>
      </c>
      <c r="AP4" s="161" t="s">
        <v>223</v>
      </c>
      <c r="AQ4" s="162"/>
      <c r="AR4" s="163"/>
      <c r="AS4" s="13" t="str">
        <f>IF(Calculs!L10='Tableaux généraux'!Z28,"OUI","NON")</f>
        <v>NON</v>
      </c>
    </row>
    <row r="5" spans="2:45">
      <c r="B5" s="183" t="s">
        <v>224</v>
      </c>
      <c r="C5" s="183"/>
      <c r="D5" s="143"/>
      <c r="E5" s="143"/>
      <c r="F5" s="143"/>
      <c r="G5" s="143"/>
      <c r="H5" s="143"/>
      <c r="I5" s="143"/>
      <c r="J5" s="143"/>
      <c r="K5" s="143"/>
      <c r="L5" s="143"/>
      <c r="M5" s="143"/>
      <c r="O5" s="183"/>
      <c r="P5" s="183"/>
      <c r="Q5" s="183"/>
      <c r="R5" s="199"/>
      <c r="S5" s="199"/>
      <c r="T5" s="199"/>
      <c r="U5" s="199"/>
      <c r="AH5" s="13">
        <f t="shared" si="0"/>
        <v>2</v>
      </c>
      <c r="AI5" s="17">
        <f t="shared" si="1"/>
        <v>1.3</v>
      </c>
      <c r="AJ5" s="20">
        <f t="shared" ref="AJ5:AJ11" si="6">AK5</f>
        <v>1.65</v>
      </c>
      <c r="AK5" s="17">
        <f t="shared" si="2"/>
        <v>1.65</v>
      </c>
      <c r="AL5" s="17">
        <f t="shared" si="3"/>
        <v>1.6</v>
      </c>
      <c r="AM5" s="17">
        <f t="shared" si="4"/>
        <v>1.6</v>
      </c>
      <c r="AN5" s="17">
        <f t="shared" si="5"/>
        <v>2</v>
      </c>
      <c r="AP5" s="14" t="s">
        <v>131</v>
      </c>
      <c r="AQ5" s="14" t="s">
        <v>132</v>
      </c>
      <c r="AR5" s="14" t="s">
        <v>225</v>
      </c>
      <c r="AS5" s="14" t="s">
        <v>226</v>
      </c>
    </row>
    <row r="6" spans="2:45">
      <c r="B6" s="183">
        <v>1</v>
      </c>
      <c r="C6" s="183"/>
      <c r="D6" s="184">
        <v>1.1499999999999999</v>
      </c>
      <c r="E6" s="184"/>
      <c r="F6" s="184">
        <v>1.1000000000000001</v>
      </c>
      <c r="G6" s="184"/>
      <c r="H6" s="184">
        <v>1.45</v>
      </c>
      <c r="I6" s="184"/>
      <c r="J6" s="184">
        <v>1.45</v>
      </c>
      <c r="K6" s="184"/>
      <c r="L6" s="184">
        <v>1.45</v>
      </c>
      <c r="M6" s="184"/>
      <c r="O6" s="183"/>
      <c r="P6" s="183"/>
      <c r="Q6" s="183"/>
      <c r="R6" s="199"/>
      <c r="S6" s="199"/>
      <c r="T6" s="199"/>
      <c r="U6" s="199"/>
      <c r="AH6" s="13">
        <f t="shared" si="0"/>
        <v>3</v>
      </c>
      <c r="AI6" s="17">
        <f t="shared" si="1"/>
        <v>1.55</v>
      </c>
      <c r="AJ6" s="20">
        <f t="shared" si="6"/>
        <v>3.2</v>
      </c>
      <c r="AK6" s="17">
        <f t="shared" si="2"/>
        <v>3.2</v>
      </c>
      <c r="AL6" s="17">
        <f t="shared" si="3"/>
        <v>2.35</v>
      </c>
      <c r="AM6" s="17">
        <f t="shared" si="4"/>
        <v>2.1</v>
      </c>
      <c r="AN6" s="17">
        <f t="shared" si="5"/>
        <v>2.1</v>
      </c>
      <c r="AP6" s="195">
        <f>AH4</f>
        <v>1</v>
      </c>
      <c r="AQ6" s="13">
        <f>B24</f>
        <v>1</v>
      </c>
      <c r="AR6" s="17">
        <f>IF(AND($AS$3="Compression",$AS$4="NON"),$R$9,IF(AND($AS$3="Traction",$AS$4="NON"),$S$9,IF(AND($AS$3="Compression",$AS$4="OUI"),$R$11,IF(AND($AS$3="Traction",$AS$4="OUI"),$S$11))))</f>
        <v>1.1499999999999999</v>
      </c>
      <c r="AS6" s="17">
        <f>$T$9</f>
        <v>1.1000000000000001</v>
      </c>
    </row>
    <row r="7" spans="2:45">
      <c r="B7" s="183">
        <v>2</v>
      </c>
      <c r="C7" s="183"/>
      <c r="D7" s="185">
        <v>1.3</v>
      </c>
      <c r="E7" s="185"/>
      <c r="F7" s="185">
        <v>1.65</v>
      </c>
      <c r="G7" s="185"/>
      <c r="H7" s="185">
        <v>1.6</v>
      </c>
      <c r="I7" s="185"/>
      <c r="J7" s="185">
        <v>1.6</v>
      </c>
      <c r="K7" s="185"/>
      <c r="L7" s="185">
        <v>2</v>
      </c>
      <c r="M7" s="185"/>
      <c r="O7" s="183"/>
      <c r="P7" s="183"/>
      <c r="Q7" s="183"/>
      <c r="R7" s="193" t="s">
        <v>227</v>
      </c>
      <c r="S7" s="193" t="s">
        <v>228</v>
      </c>
      <c r="T7" s="193" t="s">
        <v>229</v>
      </c>
      <c r="U7" s="193" t="s">
        <v>230</v>
      </c>
      <c r="AH7" s="13">
        <f t="shared" si="0"/>
        <v>4</v>
      </c>
      <c r="AI7" s="17">
        <f t="shared" si="1"/>
        <v>1.35</v>
      </c>
      <c r="AJ7" s="20">
        <f t="shared" si="6"/>
        <v>3.1</v>
      </c>
      <c r="AK7" s="17">
        <f t="shared" si="2"/>
        <v>3.1</v>
      </c>
      <c r="AL7" s="17">
        <f t="shared" si="3"/>
        <v>2.2999999999999998</v>
      </c>
      <c r="AM7" s="17">
        <f t="shared" si="4"/>
        <v>2.2999999999999998</v>
      </c>
      <c r="AN7" s="17">
        <f t="shared" si="5"/>
        <v>2.2999999999999998</v>
      </c>
      <c r="AP7" s="196"/>
      <c r="AQ7" s="13">
        <f t="shared" ref="AQ7:AQ25" si="7">B25</f>
        <v>2</v>
      </c>
      <c r="AR7" s="17">
        <f t="shared" ref="AR7:AR21" si="8">IF(AND($AS$3="Compression",$AS$4="NON"),$R$9,IF(AND($AS$3="Traction",$AS$4="NON"),$S$9,IF(AND($AS$3="Compression",$AS$4="OUI"),$R$11,IF(AND($AS$3="Traction",$AS$4="OUI"),$S$11))))</f>
        <v>1.1499999999999999</v>
      </c>
      <c r="AS7" s="17">
        <f t="shared" ref="AS7:AS25" si="9">$T$9</f>
        <v>1.1000000000000001</v>
      </c>
    </row>
    <row r="8" spans="2:45">
      <c r="B8" s="183">
        <v>3</v>
      </c>
      <c r="C8" s="183"/>
      <c r="D8" s="185">
        <v>1.55</v>
      </c>
      <c r="E8" s="185"/>
      <c r="F8" s="185">
        <v>3.2</v>
      </c>
      <c r="G8" s="185"/>
      <c r="H8" s="185">
        <v>2.35</v>
      </c>
      <c r="I8" s="185"/>
      <c r="J8" s="185">
        <v>2.1</v>
      </c>
      <c r="K8" s="185"/>
      <c r="L8" s="185">
        <v>2.1</v>
      </c>
      <c r="M8" s="185"/>
      <c r="O8" s="183"/>
      <c r="P8" s="183"/>
      <c r="Q8" s="183"/>
      <c r="R8" s="194"/>
      <c r="S8" s="194"/>
      <c r="T8" s="194"/>
      <c r="U8" s="194"/>
      <c r="AH8" s="13">
        <f t="shared" si="0"/>
        <v>5</v>
      </c>
      <c r="AI8" s="17">
        <f t="shared" si="1"/>
        <v>1</v>
      </c>
      <c r="AJ8" s="20">
        <f t="shared" si="6"/>
        <v>1.9</v>
      </c>
      <c r="AK8" s="17">
        <f t="shared" si="2"/>
        <v>1.9</v>
      </c>
      <c r="AL8" s="17">
        <f t="shared" si="3"/>
        <v>1.4</v>
      </c>
      <c r="AM8" s="17">
        <f t="shared" si="4"/>
        <v>1.4</v>
      </c>
      <c r="AN8" s="17">
        <f t="shared" si="5"/>
        <v>1.2</v>
      </c>
      <c r="AP8" s="196"/>
      <c r="AQ8" s="13">
        <f t="shared" si="7"/>
        <v>3</v>
      </c>
      <c r="AR8" s="17">
        <f t="shared" si="8"/>
        <v>1.1499999999999999</v>
      </c>
      <c r="AS8" s="17">
        <f t="shared" si="9"/>
        <v>1.1000000000000001</v>
      </c>
    </row>
    <row r="9" spans="2:45">
      <c r="B9" s="183">
        <v>4</v>
      </c>
      <c r="C9" s="183"/>
      <c r="D9" s="185">
        <v>1.35</v>
      </c>
      <c r="E9" s="185"/>
      <c r="F9" s="185">
        <v>3.1</v>
      </c>
      <c r="G9" s="185"/>
      <c r="H9" s="185">
        <v>2.2999999999999998</v>
      </c>
      <c r="I9" s="185"/>
      <c r="J9" s="185">
        <v>2.2999999999999998</v>
      </c>
      <c r="K9" s="185"/>
      <c r="L9" s="185">
        <v>2.2999999999999998</v>
      </c>
      <c r="M9" s="185"/>
      <c r="O9" s="200" t="s">
        <v>231</v>
      </c>
      <c r="P9" s="200"/>
      <c r="Q9" s="200"/>
      <c r="R9" s="89">
        <v>1.1499999999999999</v>
      </c>
      <c r="S9" s="89">
        <v>1.4</v>
      </c>
      <c r="T9" s="89">
        <v>1.1000000000000001</v>
      </c>
      <c r="U9" s="89"/>
      <c r="AH9" s="13">
        <f t="shared" si="0"/>
        <v>6</v>
      </c>
      <c r="AI9" s="17">
        <f t="shared" si="1"/>
        <v>1.2</v>
      </c>
      <c r="AJ9" s="20">
        <f t="shared" si="6"/>
        <v>3.1</v>
      </c>
      <c r="AK9" s="17">
        <f t="shared" si="2"/>
        <v>3.1</v>
      </c>
      <c r="AL9" s="17">
        <f t="shared" si="3"/>
        <v>1.7</v>
      </c>
      <c r="AM9" s="17">
        <f t="shared" si="4"/>
        <v>2.2000000000000002</v>
      </c>
      <c r="AN9" s="17">
        <f t="shared" si="5"/>
        <v>1.5</v>
      </c>
      <c r="AP9" s="196"/>
      <c r="AQ9" s="13">
        <f t="shared" si="7"/>
        <v>4</v>
      </c>
      <c r="AR9" s="17">
        <f t="shared" si="8"/>
        <v>1.1499999999999999</v>
      </c>
      <c r="AS9" s="17">
        <f t="shared" si="9"/>
        <v>1.1000000000000001</v>
      </c>
    </row>
    <row r="10" spans="2:45">
      <c r="B10" s="186">
        <v>5</v>
      </c>
      <c r="C10" s="186"/>
      <c r="D10" s="185">
        <v>1</v>
      </c>
      <c r="E10" s="185"/>
      <c r="F10" s="185">
        <v>1.9</v>
      </c>
      <c r="G10" s="185"/>
      <c r="H10" s="185">
        <v>1.4</v>
      </c>
      <c r="I10" s="185"/>
      <c r="J10" s="185">
        <v>1.4</v>
      </c>
      <c r="K10" s="185"/>
      <c r="L10" s="185">
        <v>1.2</v>
      </c>
      <c r="M10" s="185"/>
      <c r="O10" s="200"/>
      <c r="P10" s="200"/>
      <c r="Q10" s="200"/>
      <c r="R10" s="89"/>
      <c r="S10" s="89"/>
      <c r="T10" s="89"/>
      <c r="U10" s="89"/>
      <c r="AH10" s="13">
        <f t="shared" si="0"/>
        <v>7</v>
      </c>
      <c r="AI10" s="17">
        <f t="shared" si="1"/>
        <v>1</v>
      </c>
      <c r="AJ10" s="20">
        <f t="shared" si="6"/>
        <v>1</v>
      </c>
      <c r="AK10" s="17">
        <f t="shared" si="2"/>
        <v>1</v>
      </c>
      <c r="AL10" s="17">
        <f t="shared" si="3"/>
        <v>1</v>
      </c>
      <c r="AM10" s="17">
        <f t="shared" si="4"/>
        <v>1</v>
      </c>
      <c r="AN10" s="17">
        <f t="shared" si="5"/>
        <v>1.2</v>
      </c>
      <c r="AP10" s="197"/>
      <c r="AQ10" s="13">
        <f t="shared" si="7"/>
        <v>5</v>
      </c>
      <c r="AR10" s="17">
        <f t="shared" si="8"/>
        <v>1.1499999999999999</v>
      </c>
      <c r="AS10" s="17">
        <f t="shared" si="9"/>
        <v>1.1000000000000001</v>
      </c>
    </row>
    <row r="11" spans="2:45">
      <c r="B11" s="186">
        <v>6</v>
      </c>
      <c r="C11" s="186"/>
      <c r="D11" s="185">
        <v>1.2</v>
      </c>
      <c r="E11" s="185"/>
      <c r="F11" s="185">
        <v>3.1</v>
      </c>
      <c r="G11" s="185"/>
      <c r="H11" s="185">
        <v>1.7</v>
      </c>
      <c r="I11" s="185"/>
      <c r="J11" s="185">
        <v>2.2000000000000002</v>
      </c>
      <c r="K11" s="185"/>
      <c r="L11" s="185">
        <v>1.5</v>
      </c>
      <c r="M11" s="185"/>
      <c r="O11" s="200" t="s">
        <v>232</v>
      </c>
      <c r="P11" s="200"/>
      <c r="Q11" s="200"/>
      <c r="R11" s="89">
        <v>1.4</v>
      </c>
      <c r="S11" s="89">
        <v>1.7</v>
      </c>
      <c r="T11" s="89"/>
      <c r="U11" s="89"/>
      <c r="AH11" s="13">
        <f t="shared" si="0"/>
        <v>8</v>
      </c>
      <c r="AI11" s="16">
        <f t="shared" si="1"/>
        <v>1.1499999999999999</v>
      </c>
      <c r="AJ11" s="20">
        <f t="shared" si="6"/>
        <v>1.1000000000000001</v>
      </c>
      <c r="AK11" s="16">
        <f t="shared" si="2"/>
        <v>1.1000000000000001</v>
      </c>
      <c r="AL11" s="16">
        <f t="shared" si="3"/>
        <v>1.45</v>
      </c>
      <c r="AM11" s="16">
        <f t="shared" si="4"/>
        <v>1.45</v>
      </c>
      <c r="AN11" s="16">
        <f t="shared" si="5"/>
        <v>1.45</v>
      </c>
      <c r="AP11" s="13">
        <f>AH5</f>
        <v>2</v>
      </c>
      <c r="AQ11" s="13">
        <f t="shared" si="7"/>
        <v>6</v>
      </c>
      <c r="AR11" s="17">
        <f t="shared" si="8"/>
        <v>1.1499999999999999</v>
      </c>
      <c r="AS11" s="17">
        <f t="shared" si="9"/>
        <v>1.1000000000000001</v>
      </c>
    </row>
    <row r="12" spans="2:45">
      <c r="B12" s="186">
        <v>7</v>
      </c>
      <c r="C12" s="186"/>
      <c r="D12" s="185">
        <v>1</v>
      </c>
      <c r="E12" s="185"/>
      <c r="F12" s="185">
        <v>1</v>
      </c>
      <c r="G12" s="185"/>
      <c r="H12" s="185">
        <v>1</v>
      </c>
      <c r="I12" s="185"/>
      <c r="J12" s="185">
        <v>1</v>
      </c>
      <c r="K12" s="185"/>
      <c r="L12" s="185">
        <v>1.2</v>
      </c>
      <c r="M12" s="185"/>
      <c r="O12" s="200"/>
      <c r="P12" s="200"/>
      <c r="Q12" s="200"/>
      <c r="R12" s="89"/>
      <c r="S12" s="89"/>
      <c r="T12" s="89"/>
      <c r="U12" s="89"/>
      <c r="AP12" s="195">
        <f>AH6</f>
        <v>3</v>
      </c>
      <c r="AQ12" s="13">
        <f t="shared" si="7"/>
        <v>7</v>
      </c>
      <c r="AR12" s="17">
        <f t="shared" si="8"/>
        <v>1.1499999999999999</v>
      </c>
      <c r="AS12" s="17">
        <f t="shared" si="9"/>
        <v>1.1000000000000001</v>
      </c>
    </row>
    <row r="13" spans="2:45">
      <c r="B13" s="183">
        <v>8</v>
      </c>
      <c r="C13" s="183"/>
      <c r="D13" s="184">
        <v>1.1499999999999999</v>
      </c>
      <c r="E13" s="184"/>
      <c r="F13" s="184">
        <v>1.1000000000000001</v>
      </c>
      <c r="G13" s="184"/>
      <c r="H13" s="184">
        <v>1.45</v>
      </c>
      <c r="I13" s="184"/>
      <c r="J13" s="184">
        <v>1.45</v>
      </c>
      <c r="K13" s="184"/>
      <c r="L13" s="184">
        <v>1.45</v>
      </c>
      <c r="M13" s="184"/>
      <c r="O13" s="200" t="s">
        <v>233</v>
      </c>
      <c r="P13" s="200"/>
      <c r="Q13" s="200"/>
      <c r="R13" s="89">
        <v>2</v>
      </c>
      <c r="S13" s="89">
        <v>2</v>
      </c>
      <c r="T13" s="89"/>
      <c r="U13" s="89"/>
      <c r="AH13" s="164" t="str">
        <f>B21</f>
        <v>Tableau F.5.2.1 - Choix des valurs de αpieu-sol - Méthode pressiométrique</v>
      </c>
      <c r="AI13" s="164"/>
      <c r="AJ13" s="164"/>
      <c r="AK13" s="164"/>
      <c r="AL13" s="164"/>
      <c r="AM13" s="164"/>
      <c r="AN13" s="164"/>
      <c r="AP13" s="197"/>
      <c r="AQ13" s="13">
        <f t="shared" si="7"/>
        <v>8</v>
      </c>
      <c r="AR13" s="17">
        <f t="shared" si="8"/>
        <v>1.1499999999999999</v>
      </c>
      <c r="AS13" s="17">
        <f t="shared" si="9"/>
        <v>1.1000000000000001</v>
      </c>
    </row>
    <row r="14" spans="2:45" ht="15" customHeight="1">
      <c r="B14" s="205" t="s">
        <v>234</v>
      </c>
      <c r="C14" s="205"/>
      <c r="D14" s="205"/>
      <c r="E14" s="205"/>
      <c r="F14" s="205"/>
      <c r="G14" s="205"/>
      <c r="H14" s="205"/>
      <c r="I14" s="205"/>
      <c r="J14" s="205"/>
      <c r="K14" s="205"/>
      <c r="L14" s="205"/>
      <c r="M14" s="205"/>
      <c r="O14" s="200"/>
      <c r="P14" s="200"/>
      <c r="Q14" s="200"/>
      <c r="R14" s="89"/>
      <c r="S14" s="89"/>
      <c r="T14" s="89"/>
      <c r="U14" s="89"/>
      <c r="AH14" s="14" t="s">
        <v>132</v>
      </c>
      <c r="AI14" s="15" t="str">
        <f>'Tableaux généraux'!$Z$25</f>
        <v>Argile % CaCO3 &lt; 30 % Limon</v>
      </c>
      <c r="AJ14" s="19" t="str">
        <f>'Tableaux généraux'!$Z$26</f>
        <v>Sols intermédiaires</v>
      </c>
      <c r="AK14" s="15" t="str">
        <f>'Tableaux généraux'!$Z$27</f>
        <v>Sable Grave</v>
      </c>
      <c r="AL14" s="15" t="str">
        <f>'Tableaux généraux'!$Z$28</f>
        <v>Craie</v>
      </c>
      <c r="AM14" s="15" t="str">
        <f>'Tableaux généraux'!$Z$29</f>
        <v>Marne et Calcaire-Marneux</v>
      </c>
      <c r="AN14" s="15" t="str">
        <f>'Tableaux généraux'!$Z$30</f>
        <v>Roche altérée ou fragmentée</v>
      </c>
      <c r="AP14" s="195">
        <f>AH7</f>
        <v>4</v>
      </c>
      <c r="AQ14" s="13">
        <f t="shared" si="7"/>
        <v>9</v>
      </c>
      <c r="AR14" s="17">
        <f t="shared" si="8"/>
        <v>1.1499999999999999</v>
      </c>
      <c r="AS14" s="17">
        <f t="shared" si="9"/>
        <v>1.1000000000000001</v>
      </c>
    </row>
    <row r="15" spans="2:45">
      <c r="B15" s="205"/>
      <c r="C15" s="205"/>
      <c r="D15" s="205"/>
      <c r="E15" s="205"/>
      <c r="F15" s="205"/>
      <c r="G15" s="205"/>
      <c r="H15" s="205"/>
      <c r="I15" s="205"/>
      <c r="J15" s="205"/>
      <c r="K15" s="205"/>
      <c r="L15" s="205"/>
      <c r="M15" s="205"/>
      <c r="AH15" s="13">
        <f t="shared" ref="AH15:AH34" si="10">B24</f>
        <v>1</v>
      </c>
      <c r="AI15" s="17">
        <f t="shared" ref="AI15:AI34" si="11">D24</f>
        <v>1.1000000000000001</v>
      </c>
      <c r="AJ15" s="21">
        <f>AK15</f>
        <v>1</v>
      </c>
      <c r="AK15" s="17">
        <f t="shared" ref="AK15:AK34" si="12">F24</f>
        <v>1</v>
      </c>
      <c r="AL15" s="17">
        <f t="shared" ref="AL15:AL34" si="13">H24</f>
        <v>1.8</v>
      </c>
      <c r="AM15" s="17">
        <f t="shared" ref="AM15:AM34" si="14">J24</f>
        <v>1.5</v>
      </c>
      <c r="AN15" s="17">
        <f t="shared" ref="AN15:AN34" si="15">L24</f>
        <v>1.6</v>
      </c>
      <c r="AP15" s="196"/>
      <c r="AQ15" s="13">
        <f t="shared" si="7"/>
        <v>10</v>
      </c>
      <c r="AR15" s="17">
        <f>IF($AS$3="Compression",$R$13,IF($AS$3="Traction",$S$13))</f>
        <v>2</v>
      </c>
      <c r="AS15" s="17">
        <f t="shared" si="9"/>
        <v>1.1000000000000001</v>
      </c>
    </row>
    <row r="16" spans="2:45" ht="15.6">
      <c r="B16" s="205"/>
      <c r="C16" s="205"/>
      <c r="D16" s="205"/>
      <c r="E16" s="205"/>
      <c r="F16" s="205"/>
      <c r="G16" s="205"/>
      <c r="H16" s="205"/>
      <c r="I16" s="205"/>
      <c r="J16" s="205"/>
      <c r="K16" s="205"/>
      <c r="L16" s="205"/>
      <c r="M16" s="205"/>
      <c r="O16" s="187" t="s">
        <v>235</v>
      </c>
      <c r="P16" s="188"/>
      <c r="Q16" s="188"/>
      <c r="R16" s="188"/>
      <c r="S16" s="188"/>
      <c r="T16" s="188"/>
      <c r="U16" s="188"/>
      <c r="V16" s="188"/>
      <c r="W16" s="188"/>
      <c r="X16" s="188"/>
      <c r="Y16" s="188"/>
      <c r="Z16" s="189"/>
      <c r="AH16" s="13">
        <f t="shared" si="10"/>
        <v>2</v>
      </c>
      <c r="AI16" s="17">
        <f t="shared" si="11"/>
        <v>1.25</v>
      </c>
      <c r="AJ16" s="21">
        <f t="shared" ref="AJ16:AJ34" si="16">AK16</f>
        <v>1.4</v>
      </c>
      <c r="AK16" s="17">
        <f t="shared" si="12"/>
        <v>1.4</v>
      </c>
      <c r="AL16" s="17">
        <f t="shared" si="13"/>
        <v>1.8</v>
      </c>
      <c r="AM16" s="17">
        <f t="shared" si="14"/>
        <v>1.5</v>
      </c>
      <c r="AN16" s="17">
        <f t="shared" si="15"/>
        <v>1.6</v>
      </c>
      <c r="AP16" s="196"/>
      <c r="AQ16" s="13">
        <f t="shared" si="7"/>
        <v>11</v>
      </c>
      <c r="AR16" s="17">
        <f t="shared" si="8"/>
        <v>1.1499999999999999</v>
      </c>
      <c r="AS16" s="17">
        <f t="shared" si="9"/>
        <v>1.1000000000000001</v>
      </c>
    </row>
    <row r="17" spans="2:45" ht="15" customHeight="1">
      <c r="B17" s="205"/>
      <c r="C17" s="205"/>
      <c r="D17" s="205"/>
      <c r="E17" s="205"/>
      <c r="F17" s="205"/>
      <c r="G17" s="205"/>
      <c r="H17" s="205"/>
      <c r="I17" s="205"/>
      <c r="J17" s="205"/>
      <c r="K17" s="205"/>
      <c r="L17" s="205"/>
      <c r="M17" s="205"/>
      <c r="O17" s="201" t="s">
        <v>47</v>
      </c>
      <c r="P17" s="202"/>
      <c r="Q17" s="156" t="s">
        <v>218</v>
      </c>
      <c r="R17" s="157"/>
      <c r="S17" s="156" t="s">
        <v>219</v>
      </c>
      <c r="T17" s="157"/>
      <c r="U17" s="156" t="s">
        <v>142</v>
      </c>
      <c r="V17" s="157"/>
      <c r="W17" s="156" t="s">
        <v>236</v>
      </c>
      <c r="X17" s="157"/>
      <c r="Y17" s="156" t="s">
        <v>220</v>
      </c>
      <c r="Z17" s="157"/>
      <c r="AH17" s="13">
        <f t="shared" si="10"/>
        <v>3</v>
      </c>
      <c r="AI17" s="17">
        <f t="shared" si="11"/>
        <v>0.7</v>
      </c>
      <c r="AJ17" s="21">
        <f t="shared" si="16"/>
        <v>0.6</v>
      </c>
      <c r="AK17" s="17">
        <f t="shared" si="12"/>
        <v>0.6</v>
      </c>
      <c r="AL17" s="17">
        <f t="shared" si="13"/>
        <v>0.5</v>
      </c>
      <c r="AM17" s="17">
        <f t="shared" si="14"/>
        <v>0.9</v>
      </c>
      <c r="AN17" s="17" t="str">
        <f t="shared" si="15"/>
        <v>-</v>
      </c>
      <c r="AP17" s="197"/>
      <c r="AQ17" s="13">
        <f t="shared" si="7"/>
        <v>12</v>
      </c>
      <c r="AR17" s="17">
        <f t="shared" si="8"/>
        <v>1.1499999999999999</v>
      </c>
      <c r="AS17" s="17">
        <f t="shared" si="9"/>
        <v>1.1000000000000001</v>
      </c>
    </row>
    <row r="18" spans="2:45">
      <c r="B18" s="205"/>
      <c r="C18" s="205"/>
      <c r="D18" s="205"/>
      <c r="E18" s="205"/>
      <c r="F18" s="205"/>
      <c r="G18" s="205"/>
      <c r="H18" s="205"/>
      <c r="I18" s="205"/>
      <c r="J18" s="205"/>
      <c r="K18" s="205"/>
      <c r="L18" s="205"/>
      <c r="M18" s="205"/>
      <c r="O18" s="203"/>
      <c r="P18" s="204"/>
      <c r="Q18" s="158"/>
      <c r="R18" s="159"/>
      <c r="S18" s="158"/>
      <c r="T18" s="159"/>
      <c r="U18" s="158"/>
      <c r="V18" s="159"/>
      <c r="W18" s="158"/>
      <c r="X18" s="159"/>
      <c r="Y18" s="158"/>
      <c r="Z18" s="159"/>
      <c r="AH18" s="13">
        <f t="shared" si="10"/>
        <v>4</v>
      </c>
      <c r="AI18" s="17">
        <f t="shared" si="11"/>
        <v>1.25</v>
      </c>
      <c r="AJ18" s="21">
        <f t="shared" si="16"/>
        <v>1.4</v>
      </c>
      <c r="AK18" s="17">
        <f t="shared" si="12"/>
        <v>1.4</v>
      </c>
      <c r="AL18" s="17">
        <f t="shared" si="13"/>
        <v>1.7</v>
      </c>
      <c r="AM18" s="17">
        <f t="shared" si="14"/>
        <v>1.4</v>
      </c>
      <c r="AN18" s="17" t="str">
        <f t="shared" si="15"/>
        <v>-</v>
      </c>
      <c r="AP18" s="13">
        <f>AH8</f>
        <v>5</v>
      </c>
      <c r="AQ18" s="13">
        <f t="shared" si="7"/>
        <v>13</v>
      </c>
      <c r="AR18" s="17">
        <f t="shared" si="8"/>
        <v>1.1499999999999999</v>
      </c>
      <c r="AS18" s="17">
        <f t="shared" si="9"/>
        <v>1.1000000000000001</v>
      </c>
    </row>
    <row r="19" spans="2:45">
      <c r="B19" s="205"/>
      <c r="C19" s="205"/>
      <c r="D19" s="205"/>
      <c r="E19" s="205"/>
      <c r="F19" s="205"/>
      <c r="G19" s="205"/>
      <c r="H19" s="205"/>
      <c r="I19" s="205"/>
      <c r="J19" s="205"/>
      <c r="K19" s="205"/>
      <c r="L19" s="205"/>
      <c r="M19" s="205"/>
      <c r="O19" s="190" t="s">
        <v>237</v>
      </c>
      <c r="P19" s="191"/>
      <c r="Q19" s="70" t="s">
        <v>238</v>
      </c>
      <c r="R19" s="71"/>
      <c r="S19" s="70" t="s">
        <v>239</v>
      </c>
      <c r="T19" s="71"/>
      <c r="U19" s="70" t="s">
        <v>240</v>
      </c>
      <c r="V19" s="71"/>
      <c r="W19" s="70" t="s">
        <v>241</v>
      </c>
      <c r="X19" s="71"/>
      <c r="Y19" s="70" t="s">
        <v>242</v>
      </c>
      <c r="Z19" s="71"/>
      <c r="AH19" s="13">
        <f t="shared" si="10"/>
        <v>5</v>
      </c>
      <c r="AI19" s="17">
        <f t="shared" si="11"/>
        <v>1.3</v>
      </c>
      <c r="AJ19" s="21" t="str">
        <f t="shared" si="16"/>
        <v>-</v>
      </c>
      <c r="AK19" s="17" t="str">
        <f t="shared" si="12"/>
        <v>-</v>
      </c>
      <c r="AL19" s="17" t="str">
        <f t="shared" si="13"/>
        <v>-</v>
      </c>
      <c r="AM19" s="17" t="str">
        <f t="shared" si="14"/>
        <v>-</v>
      </c>
      <c r="AN19" s="17" t="str">
        <f t="shared" si="15"/>
        <v>-</v>
      </c>
      <c r="AP19" s="195">
        <f>AH9</f>
        <v>6</v>
      </c>
      <c r="AQ19" s="13">
        <f t="shared" si="7"/>
        <v>14</v>
      </c>
      <c r="AR19" s="17">
        <f t="shared" si="8"/>
        <v>1.1499999999999999</v>
      </c>
      <c r="AS19" s="17">
        <f t="shared" si="9"/>
        <v>1.1000000000000001</v>
      </c>
    </row>
    <row r="20" spans="2:45">
      <c r="B20" s="5"/>
      <c r="C20" s="5"/>
      <c r="D20" s="5"/>
      <c r="E20" s="5"/>
      <c r="F20" s="5"/>
      <c r="G20" s="5"/>
      <c r="H20" s="5"/>
      <c r="I20" s="5"/>
      <c r="J20" s="5"/>
      <c r="K20" s="5"/>
      <c r="L20" s="5"/>
      <c r="M20" s="5"/>
      <c r="O20" s="190" t="s">
        <v>51</v>
      </c>
      <c r="P20" s="191"/>
      <c r="Q20" s="70">
        <v>3.0000000000000001E-3</v>
      </c>
      <c r="R20" s="71"/>
      <c r="S20" s="70">
        <v>0.01</v>
      </c>
      <c r="T20" s="71"/>
      <c r="U20" s="70">
        <v>7.0000000000000001E-3</v>
      </c>
      <c r="V20" s="71"/>
      <c r="W20" s="70">
        <v>8.0000000000000002E-3</v>
      </c>
      <c r="X20" s="71"/>
      <c r="Y20" s="70">
        <v>0.01</v>
      </c>
      <c r="Z20" s="71"/>
      <c r="AH20" s="13">
        <f t="shared" si="10"/>
        <v>6</v>
      </c>
      <c r="AI20" s="17">
        <f t="shared" si="11"/>
        <v>1.5</v>
      </c>
      <c r="AJ20" s="21">
        <f t="shared" si="16"/>
        <v>1.8</v>
      </c>
      <c r="AK20" s="17">
        <f t="shared" si="12"/>
        <v>1.8</v>
      </c>
      <c r="AL20" s="17">
        <f t="shared" si="13"/>
        <v>2.1</v>
      </c>
      <c r="AM20" s="17">
        <f t="shared" si="14"/>
        <v>1.6</v>
      </c>
      <c r="AN20" s="17">
        <f t="shared" si="15"/>
        <v>1.6</v>
      </c>
      <c r="AP20" s="197"/>
      <c r="AQ20" s="13">
        <f t="shared" si="7"/>
        <v>15</v>
      </c>
      <c r="AR20" s="17">
        <f>IF($AS$3="Compression",$R$13,IF($AS$3="Traction",$S$13))</f>
        <v>2</v>
      </c>
      <c r="AS20" s="17">
        <f t="shared" si="9"/>
        <v>1.1000000000000001</v>
      </c>
    </row>
    <row r="21" spans="2:45" ht="15" customHeight="1">
      <c r="B21" s="166" t="s">
        <v>243</v>
      </c>
      <c r="C21" s="166"/>
      <c r="D21" s="166"/>
      <c r="E21" s="166"/>
      <c r="F21" s="166"/>
      <c r="G21" s="166"/>
      <c r="H21" s="166"/>
      <c r="I21" s="166"/>
      <c r="J21" s="166"/>
      <c r="K21" s="166"/>
      <c r="L21" s="166"/>
      <c r="M21" s="166"/>
      <c r="N21" s="11"/>
      <c r="O21" s="190" t="s">
        <v>52</v>
      </c>
      <c r="P21" s="191"/>
      <c r="Q21" s="171">
        <v>0.04</v>
      </c>
      <c r="R21" s="192"/>
      <c r="S21" s="171">
        <v>0.06</v>
      </c>
      <c r="T21" s="192"/>
      <c r="U21" s="171">
        <v>7.0000000000000007E-2</v>
      </c>
      <c r="V21" s="192"/>
      <c r="W21" s="171">
        <v>0.08</v>
      </c>
      <c r="X21" s="192"/>
      <c r="Y21" s="171">
        <v>0.08</v>
      </c>
      <c r="Z21" s="192"/>
      <c r="AH21" s="13">
        <f t="shared" si="10"/>
        <v>7</v>
      </c>
      <c r="AI21" s="17">
        <f t="shared" si="11"/>
        <v>1.9</v>
      </c>
      <c r="AJ21" s="21">
        <f t="shared" si="16"/>
        <v>2.1</v>
      </c>
      <c r="AK21" s="17">
        <f t="shared" si="12"/>
        <v>2.1</v>
      </c>
      <c r="AL21" s="17">
        <f t="shared" si="13"/>
        <v>1.7</v>
      </c>
      <c r="AM21" s="17">
        <f t="shared" si="14"/>
        <v>1.7</v>
      </c>
      <c r="AN21" s="17" t="str">
        <f t="shared" si="15"/>
        <v>-</v>
      </c>
      <c r="AP21" s="13">
        <f>AH10</f>
        <v>7</v>
      </c>
      <c r="AQ21" s="13">
        <f t="shared" si="7"/>
        <v>16</v>
      </c>
      <c r="AR21" s="17">
        <f t="shared" si="8"/>
        <v>1.1499999999999999</v>
      </c>
      <c r="AS21" s="17">
        <f t="shared" si="9"/>
        <v>1.1000000000000001</v>
      </c>
    </row>
    <row r="22" spans="2:45">
      <c r="B22" s="77" t="s">
        <v>134</v>
      </c>
      <c r="C22" s="77" t="s">
        <v>9</v>
      </c>
      <c r="D22" s="143" t="s">
        <v>218</v>
      </c>
      <c r="E22" s="143"/>
      <c r="F22" s="143" t="s">
        <v>219</v>
      </c>
      <c r="G22" s="143"/>
      <c r="H22" s="143" t="s">
        <v>142</v>
      </c>
      <c r="I22" s="143"/>
      <c r="J22" s="143" t="s">
        <v>244</v>
      </c>
      <c r="K22" s="143"/>
      <c r="L22" s="143" t="s">
        <v>143</v>
      </c>
      <c r="M22" s="143"/>
      <c r="N22" s="12"/>
      <c r="O22" s="190" t="s">
        <v>53</v>
      </c>
      <c r="P22" s="191"/>
      <c r="Q22" s="171">
        <v>3.5</v>
      </c>
      <c r="R22" s="192"/>
      <c r="S22" s="171">
        <v>1.2</v>
      </c>
      <c r="T22" s="192"/>
      <c r="U22" s="171">
        <v>1.3</v>
      </c>
      <c r="V22" s="192"/>
      <c r="W22" s="171">
        <v>3</v>
      </c>
      <c r="X22" s="192"/>
      <c r="Y22" s="171">
        <v>3</v>
      </c>
      <c r="Z22" s="192"/>
      <c r="AH22" s="13">
        <f t="shared" si="10"/>
        <v>8</v>
      </c>
      <c r="AI22" s="17">
        <f t="shared" si="11"/>
        <v>0.6</v>
      </c>
      <c r="AJ22" s="21">
        <f t="shared" si="16"/>
        <v>0.6</v>
      </c>
      <c r="AK22" s="17">
        <f t="shared" si="12"/>
        <v>0.6</v>
      </c>
      <c r="AL22" s="17">
        <f t="shared" si="13"/>
        <v>1</v>
      </c>
      <c r="AM22" s="17">
        <f t="shared" si="14"/>
        <v>0.7</v>
      </c>
      <c r="AN22" s="17" t="str">
        <f t="shared" si="15"/>
        <v>-</v>
      </c>
      <c r="AP22" s="195" t="str">
        <f>'Tableaux généraux'!B21</f>
        <v>1 bis</v>
      </c>
      <c r="AQ22" s="13">
        <f t="shared" si="7"/>
        <v>17</v>
      </c>
      <c r="AR22" s="17">
        <f>IF($AS$3="Compression",$R$13,IF($AS$3="Traction",$S$13))</f>
        <v>2</v>
      </c>
      <c r="AS22" s="17">
        <f t="shared" si="9"/>
        <v>1.1000000000000001</v>
      </c>
    </row>
    <row r="23" spans="2:45">
      <c r="B23" s="77"/>
      <c r="C23" s="77"/>
      <c r="D23" s="143"/>
      <c r="E23" s="143"/>
      <c r="F23" s="143"/>
      <c r="G23" s="143"/>
      <c r="H23" s="143"/>
      <c r="I23" s="143"/>
      <c r="J23" s="143"/>
      <c r="K23" s="143"/>
      <c r="L23" s="143"/>
      <c r="M23" s="143"/>
      <c r="AH23" s="13">
        <f t="shared" si="10"/>
        <v>9</v>
      </c>
      <c r="AI23" s="17">
        <f t="shared" si="11"/>
        <v>1.1000000000000001</v>
      </c>
      <c r="AJ23" s="21">
        <f t="shared" si="16"/>
        <v>1.4</v>
      </c>
      <c r="AK23" s="17">
        <f t="shared" si="12"/>
        <v>1.4</v>
      </c>
      <c r="AL23" s="17">
        <f t="shared" si="13"/>
        <v>1</v>
      </c>
      <c r="AM23" s="17">
        <f t="shared" si="14"/>
        <v>0.9</v>
      </c>
      <c r="AN23" s="17" t="str">
        <f t="shared" si="15"/>
        <v>-</v>
      </c>
      <c r="AP23" s="197"/>
      <c r="AQ23" s="13">
        <f t="shared" si="7"/>
        <v>18</v>
      </c>
      <c r="AR23" s="17">
        <f>IF($AS$3="Compression",$R$13,IF($AS$3="Traction",$S$13))</f>
        <v>2</v>
      </c>
      <c r="AS23" s="17">
        <f t="shared" si="9"/>
        <v>1.1000000000000001</v>
      </c>
    </row>
    <row r="24" spans="2:45">
      <c r="B24" s="7">
        <v>1</v>
      </c>
      <c r="C24" s="8" t="s">
        <v>147</v>
      </c>
      <c r="D24" s="89">
        <v>1.1000000000000001</v>
      </c>
      <c r="E24" s="89"/>
      <c r="F24" s="89">
        <v>1</v>
      </c>
      <c r="G24" s="89"/>
      <c r="H24" s="89">
        <v>1.8</v>
      </c>
      <c r="I24" s="89"/>
      <c r="J24" s="89">
        <v>1.5</v>
      </c>
      <c r="K24" s="89"/>
      <c r="L24" s="89">
        <v>1.6</v>
      </c>
      <c r="M24" s="89"/>
      <c r="P24" s="3" t="s">
        <v>238</v>
      </c>
      <c r="Q24" s="3" t="s">
        <v>239</v>
      </c>
      <c r="R24" s="3" t="s">
        <v>240</v>
      </c>
      <c r="S24" s="3" t="s">
        <v>241</v>
      </c>
      <c r="T24" s="3" t="s">
        <v>242</v>
      </c>
      <c r="AH24" s="13">
        <f t="shared" si="10"/>
        <v>10</v>
      </c>
      <c r="AI24" s="17">
        <f t="shared" si="11"/>
        <v>2</v>
      </c>
      <c r="AJ24" s="21">
        <f t="shared" si="16"/>
        <v>2.1</v>
      </c>
      <c r="AK24" s="17">
        <f t="shared" si="12"/>
        <v>2.1</v>
      </c>
      <c r="AL24" s="17">
        <f t="shared" si="13"/>
        <v>1.9</v>
      </c>
      <c r="AM24" s="17">
        <f t="shared" si="14"/>
        <v>1.6</v>
      </c>
      <c r="AN24" s="17" t="str">
        <f t="shared" si="15"/>
        <v>-</v>
      </c>
      <c r="AP24" s="195">
        <f>AH11</f>
        <v>8</v>
      </c>
      <c r="AQ24" s="13">
        <f t="shared" si="7"/>
        <v>19</v>
      </c>
      <c r="AR24" s="17">
        <f>IF($AS$3="Compression",$R$13,IF($AS$3="Traction",$S$13))</f>
        <v>2</v>
      </c>
      <c r="AS24" s="17">
        <f t="shared" si="9"/>
        <v>1.1000000000000001</v>
      </c>
    </row>
    <row r="25" spans="2:45" ht="15.6">
      <c r="B25" s="7">
        <v>2</v>
      </c>
      <c r="C25" s="8" t="s">
        <v>150</v>
      </c>
      <c r="D25" s="89">
        <v>1.25</v>
      </c>
      <c r="E25" s="89"/>
      <c r="F25" s="89">
        <v>1.4</v>
      </c>
      <c r="G25" s="89"/>
      <c r="H25" s="89">
        <v>1.8</v>
      </c>
      <c r="I25" s="89"/>
      <c r="J25" s="89">
        <v>1.5</v>
      </c>
      <c r="K25" s="89"/>
      <c r="L25" s="89">
        <v>1.6</v>
      </c>
      <c r="M25" s="89"/>
      <c r="O25" s="3" t="s">
        <v>245</v>
      </c>
      <c r="P25" s="3" t="s">
        <v>246</v>
      </c>
      <c r="Q25" s="3" t="s">
        <v>246</v>
      </c>
      <c r="R25" s="3" t="s">
        <v>246</v>
      </c>
      <c r="S25" s="3" t="s">
        <v>246</v>
      </c>
      <c r="T25" s="3" t="s">
        <v>246</v>
      </c>
      <c r="AH25" s="13">
        <f t="shared" si="10"/>
        <v>11</v>
      </c>
      <c r="AI25" s="17">
        <f t="shared" si="11"/>
        <v>1.2</v>
      </c>
      <c r="AJ25" s="21">
        <f t="shared" si="16"/>
        <v>1.4</v>
      </c>
      <c r="AK25" s="17">
        <f t="shared" si="12"/>
        <v>1.4</v>
      </c>
      <c r="AL25" s="17">
        <f t="shared" si="13"/>
        <v>2.1</v>
      </c>
      <c r="AM25" s="17">
        <f t="shared" si="14"/>
        <v>1</v>
      </c>
      <c r="AN25" s="17" t="str">
        <f t="shared" si="15"/>
        <v>-</v>
      </c>
      <c r="AP25" s="197"/>
      <c r="AQ25" s="13">
        <f t="shared" si="7"/>
        <v>20</v>
      </c>
      <c r="AR25" s="17">
        <f>IF($AS$3="Compression",$R$13,IF($AS$3="Traction",$S$13))</f>
        <v>2</v>
      </c>
      <c r="AS25" s="17">
        <f t="shared" si="9"/>
        <v>1.1000000000000001</v>
      </c>
    </row>
    <row r="26" spans="2:45">
      <c r="B26" s="7">
        <v>3</v>
      </c>
      <c r="C26" s="8" t="s">
        <v>146</v>
      </c>
      <c r="D26" s="89">
        <v>0.7</v>
      </c>
      <c r="E26" s="89"/>
      <c r="F26" s="89">
        <v>0.6</v>
      </c>
      <c r="G26" s="89"/>
      <c r="H26" s="89">
        <v>0.5</v>
      </c>
      <c r="I26" s="89"/>
      <c r="J26" s="89">
        <v>0.9</v>
      </c>
      <c r="K26" s="89"/>
      <c r="L26" s="89" t="s">
        <v>112</v>
      </c>
      <c r="M26" s="89"/>
      <c r="O26" s="3">
        <v>0</v>
      </c>
      <c r="P26" s="4">
        <f t="shared" ref="P26:P40" si="17">1000*(Q$20*O26+Q$21)*(1-EXP(-Q$22*O26))</f>
        <v>0</v>
      </c>
      <c r="Q26" s="4">
        <f t="shared" ref="Q26:Q40" si="18">1000*(S$20*O26+S$21)*(1-EXP(-S$22*O26))</f>
        <v>0</v>
      </c>
      <c r="R26" s="4">
        <f t="shared" ref="R26:R40" si="19">1000*(U$20*O26+U$21)*(1-EXP(-U$22*O26))</f>
        <v>0</v>
      </c>
      <c r="S26" s="4">
        <f t="shared" ref="S26:S40" si="20">1000*(W$20*O26+W$21)*(1-EXP(-W$22*O26))</f>
        <v>0</v>
      </c>
      <c r="T26" s="4">
        <f t="shared" ref="T26:T40" si="21">1000*(Y$20*O26+Y$21)*(1-EXP(-Y$22*O26))</f>
        <v>0</v>
      </c>
      <c r="AH26" s="13">
        <f t="shared" si="10"/>
        <v>12</v>
      </c>
      <c r="AI26" s="17">
        <f t="shared" si="11"/>
        <v>0.8</v>
      </c>
      <c r="AJ26" s="21">
        <f t="shared" si="16"/>
        <v>1.2</v>
      </c>
      <c r="AK26" s="17">
        <f t="shared" si="12"/>
        <v>1.2</v>
      </c>
      <c r="AL26" s="17">
        <f t="shared" si="13"/>
        <v>0.4</v>
      </c>
      <c r="AM26" s="17">
        <f t="shared" si="14"/>
        <v>0.9</v>
      </c>
      <c r="AN26" s="17" t="str">
        <f t="shared" si="15"/>
        <v>-</v>
      </c>
    </row>
    <row r="27" spans="2:45">
      <c r="B27" s="7">
        <v>4</v>
      </c>
      <c r="C27" s="8" t="s">
        <v>149</v>
      </c>
      <c r="D27" s="89">
        <v>1.25</v>
      </c>
      <c r="E27" s="89"/>
      <c r="F27" s="89">
        <v>1.4</v>
      </c>
      <c r="G27" s="89"/>
      <c r="H27" s="89">
        <v>1.7</v>
      </c>
      <c r="I27" s="89"/>
      <c r="J27" s="89">
        <v>1.4</v>
      </c>
      <c r="K27" s="89"/>
      <c r="L27" s="89" t="s">
        <v>112</v>
      </c>
      <c r="M27" s="89"/>
      <c r="O27" s="3">
        <v>0.5</v>
      </c>
      <c r="P27" s="4">
        <f t="shared" si="17"/>
        <v>34.288381346806503</v>
      </c>
      <c r="Q27" s="4">
        <f t="shared" si="18"/>
        <v>29.327243653888299</v>
      </c>
      <c r="R27" s="4">
        <f t="shared" si="19"/>
        <v>35.129635408065297</v>
      </c>
      <c r="S27" s="4">
        <f t="shared" si="20"/>
        <v>65.257066547531906</v>
      </c>
      <c r="T27" s="4">
        <f t="shared" si="21"/>
        <v>66.033936387383505</v>
      </c>
      <c r="AH27" s="13">
        <f t="shared" si="10"/>
        <v>13</v>
      </c>
      <c r="AI27" s="17">
        <f t="shared" si="11"/>
        <v>1.2</v>
      </c>
      <c r="AJ27" s="21">
        <f t="shared" si="16"/>
        <v>0.7</v>
      </c>
      <c r="AK27" s="17">
        <f t="shared" si="12"/>
        <v>0.7</v>
      </c>
      <c r="AL27" s="17">
        <f t="shared" si="13"/>
        <v>0.5</v>
      </c>
      <c r="AM27" s="17">
        <f t="shared" si="14"/>
        <v>1</v>
      </c>
      <c r="AN27" s="17">
        <f t="shared" si="15"/>
        <v>1</v>
      </c>
    </row>
    <row r="28" spans="2:45">
      <c r="B28" s="7">
        <v>5</v>
      </c>
      <c r="C28" s="8" t="s">
        <v>158</v>
      </c>
      <c r="D28" s="89">
        <v>1.3</v>
      </c>
      <c r="E28" s="89"/>
      <c r="F28" s="89" t="s">
        <v>112</v>
      </c>
      <c r="G28" s="89"/>
      <c r="H28" s="89" t="s">
        <v>112</v>
      </c>
      <c r="I28" s="89"/>
      <c r="J28" s="89" t="s">
        <v>112</v>
      </c>
      <c r="K28" s="89"/>
      <c r="L28" s="89" t="s">
        <v>112</v>
      </c>
      <c r="M28" s="89"/>
      <c r="O28" s="3">
        <v>1</v>
      </c>
      <c r="P28" s="4">
        <f t="shared" si="17"/>
        <v>41.701512512840303</v>
      </c>
      <c r="Q28" s="4">
        <f t="shared" si="18"/>
        <v>48.9164051661458</v>
      </c>
      <c r="R28" s="4">
        <f t="shared" si="19"/>
        <v>56.015051936380999</v>
      </c>
      <c r="S28" s="4">
        <f t="shared" si="20"/>
        <v>83.618737983627994</v>
      </c>
      <c r="T28" s="4">
        <f t="shared" si="21"/>
        <v>85.519163846892198</v>
      </c>
      <c r="AH28" s="13">
        <f t="shared" si="10"/>
        <v>14</v>
      </c>
      <c r="AI28" s="17">
        <f t="shared" si="11"/>
        <v>1.1000000000000001</v>
      </c>
      <c r="AJ28" s="21">
        <f t="shared" si="16"/>
        <v>1</v>
      </c>
      <c r="AK28" s="17">
        <f t="shared" si="12"/>
        <v>1</v>
      </c>
      <c r="AL28" s="17">
        <f t="shared" si="13"/>
        <v>0.4</v>
      </c>
      <c r="AM28" s="17">
        <f t="shared" si="14"/>
        <v>1</v>
      </c>
      <c r="AN28" s="17">
        <f t="shared" si="15"/>
        <v>0.9</v>
      </c>
    </row>
    <row r="29" spans="2:45" ht="15" customHeight="1">
      <c r="B29" s="7">
        <v>6</v>
      </c>
      <c r="C29" s="8" t="s">
        <v>247</v>
      </c>
      <c r="D29" s="89">
        <v>1.5</v>
      </c>
      <c r="E29" s="89"/>
      <c r="F29" s="89">
        <v>1.8</v>
      </c>
      <c r="G29" s="89"/>
      <c r="H29" s="89">
        <v>2.1</v>
      </c>
      <c r="I29" s="89"/>
      <c r="J29" s="89">
        <v>1.6</v>
      </c>
      <c r="K29" s="89"/>
      <c r="L29" s="89">
        <v>1.6</v>
      </c>
      <c r="M29" s="89"/>
      <c r="O29" s="3">
        <v>1.5</v>
      </c>
      <c r="P29" s="4">
        <f t="shared" si="17"/>
        <v>44.266485431236397</v>
      </c>
      <c r="Q29" s="4">
        <f t="shared" si="18"/>
        <v>62.602583383381003</v>
      </c>
      <c r="R29" s="4">
        <f t="shared" si="19"/>
        <v>69.046937237285704</v>
      </c>
      <c r="S29" s="4">
        <f t="shared" si="20"/>
        <v>90.977972318481704</v>
      </c>
      <c r="T29" s="4">
        <f t="shared" si="21"/>
        <v>93.944645328866997</v>
      </c>
      <c r="AH29" s="13">
        <f t="shared" si="10"/>
        <v>15</v>
      </c>
      <c r="AI29" s="17">
        <f t="shared" si="11"/>
        <v>2.7</v>
      </c>
      <c r="AJ29" s="21">
        <f t="shared" si="16"/>
        <v>2.9</v>
      </c>
      <c r="AK29" s="17">
        <f t="shared" si="12"/>
        <v>2.9</v>
      </c>
      <c r="AL29" s="17">
        <f t="shared" si="13"/>
        <v>2.4</v>
      </c>
      <c r="AM29" s="17">
        <f t="shared" si="14"/>
        <v>2.4</v>
      </c>
      <c r="AN29" s="17">
        <f t="shared" si="15"/>
        <v>2.4</v>
      </c>
    </row>
    <row r="30" spans="2:45">
      <c r="B30" s="7">
        <v>7</v>
      </c>
      <c r="C30" s="8" t="s">
        <v>156</v>
      </c>
      <c r="D30" s="89">
        <v>1.9</v>
      </c>
      <c r="E30" s="89"/>
      <c r="F30" s="89">
        <v>2.1</v>
      </c>
      <c r="G30" s="89"/>
      <c r="H30" s="89">
        <v>1.7</v>
      </c>
      <c r="I30" s="89"/>
      <c r="J30" s="89">
        <v>1.7</v>
      </c>
      <c r="K30" s="89"/>
      <c r="L30" s="89" t="s">
        <v>112</v>
      </c>
      <c r="M30" s="89"/>
      <c r="O30" s="3">
        <v>2</v>
      </c>
      <c r="P30" s="4">
        <f t="shared" si="17"/>
        <v>45.958053429584503</v>
      </c>
      <c r="Q30" s="4">
        <f t="shared" si="18"/>
        <v>72.742563736847003</v>
      </c>
      <c r="R30" s="4">
        <f t="shared" si="19"/>
        <v>77.761019429995997</v>
      </c>
      <c r="S30" s="4">
        <f t="shared" si="20"/>
        <v>95.762039791039996</v>
      </c>
      <c r="T30" s="4">
        <f t="shared" si="21"/>
        <v>99.752124782333397</v>
      </c>
      <c r="AH30" s="13">
        <f t="shared" si="10"/>
        <v>16</v>
      </c>
      <c r="AI30" s="17">
        <f t="shared" si="11"/>
        <v>0.9</v>
      </c>
      <c r="AJ30" s="21">
        <f t="shared" si="16"/>
        <v>0.8</v>
      </c>
      <c r="AK30" s="17">
        <f t="shared" si="12"/>
        <v>0.8</v>
      </c>
      <c r="AL30" s="17">
        <f t="shared" si="13"/>
        <v>0.4</v>
      </c>
      <c r="AM30" s="17">
        <f t="shared" si="14"/>
        <v>1.2</v>
      </c>
      <c r="AN30" s="17">
        <f t="shared" si="15"/>
        <v>1.2</v>
      </c>
    </row>
    <row r="31" spans="2:45">
      <c r="B31" s="7">
        <v>8</v>
      </c>
      <c r="C31" s="8" t="s">
        <v>160</v>
      </c>
      <c r="D31" s="89">
        <v>0.6</v>
      </c>
      <c r="E31" s="89"/>
      <c r="F31" s="89">
        <v>0.6</v>
      </c>
      <c r="G31" s="89"/>
      <c r="H31" s="89">
        <v>1</v>
      </c>
      <c r="I31" s="89"/>
      <c r="J31" s="89">
        <v>0.7</v>
      </c>
      <c r="K31" s="89"/>
      <c r="L31" s="89" t="s">
        <v>112</v>
      </c>
      <c r="M31" s="89"/>
      <c r="O31" s="3">
        <v>2.5</v>
      </c>
      <c r="P31" s="4">
        <f t="shared" si="17"/>
        <v>47.492473087057</v>
      </c>
      <c r="Q31" s="4">
        <f t="shared" si="18"/>
        <v>80.768099188731597</v>
      </c>
      <c r="R31" s="4">
        <f t="shared" si="19"/>
        <v>84.107256814724295</v>
      </c>
      <c r="S31" s="4">
        <f t="shared" si="20"/>
        <v>99.944691562985199</v>
      </c>
      <c r="T31" s="4">
        <f t="shared" si="21"/>
        <v>104.941926141135</v>
      </c>
      <c r="AH31" s="13">
        <f t="shared" si="10"/>
        <v>17</v>
      </c>
      <c r="AI31" s="17" t="str">
        <f t="shared" si="11"/>
        <v>-</v>
      </c>
      <c r="AJ31" s="21" t="str">
        <f t="shared" si="16"/>
        <v>-</v>
      </c>
      <c r="AK31" s="17" t="str">
        <f t="shared" si="12"/>
        <v>-</v>
      </c>
      <c r="AL31" s="17" t="str">
        <f t="shared" si="13"/>
        <v>-</v>
      </c>
      <c r="AM31" s="17" t="str">
        <f t="shared" si="14"/>
        <v>-</v>
      </c>
      <c r="AN31" s="17" t="str">
        <f t="shared" si="15"/>
        <v>-</v>
      </c>
    </row>
    <row r="32" spans="2:45">
      <c r="B32" s="7">
        <v>9</v>
      </c>
      <c r="C32" s="8" t="s">
        <v>167</v>
      </c>
      <c r="D32" s="89">
        <v>1.1000000000000001</v>
      </c>
      <c r="E32" s="89"/>
      <c r="F32" s="89">
        <v>1.4</v>
      </c>
      <c r="G32" s="89"/>
      <c r="H32" s="89">
        <v>1</v>
      </c>
      <c r="I32" s="89"/>
      <c r="J32" s="89">
        <v>0.9</v>
      </c>
      <c r="K32" s="89"/>
      <c r="L32" s="89" t="s">
        <v>112</v>
      </c>
      <c r="M32" s="89"/>
      <c r="O32" s="3">
        <v>3</v>
      </c>
      <c r="P32" s="4">
        <f t="shared" si="17"/>
        <v>48.998650713981903</v>
      </c>
      <c r="Q32" s="4">
        <f t="shared" si="18"/>
        <v>87.540864979743702</v>
      </c>
      <c r="R32" s="4">
        <f t="shared" si="19"/>
        <v>89.157986058431803</v>
      </c>
      <c r="S32" s="4">
        <f t="shared" si="20"/>
        <v>103.987165380375</v>
      </c>
      <c r="T32" s="4">
        <f t="shared" si="21"/>
        <v>109.98642492155</v>
      </c>
      <c r="AH32" s="13">
        <f t="shared" si="10"/>
        <v>18</v>
      </c>
      <c r="AI32" s="17" t="str">
        <f t="shared" si="11"/>
        <v>-</v>
      </c>
      <c r="AJ32" s="21" t="str">
        <f t="shared" si="16"/>
        <v>-</v>
      </c>
      <c r="AK32" s="17" t="str">
        <f t="shared" si="12"/>
        <v>-</v>
      </c>
      <c r="AL32" s="17" t="str">
        <f t="shared" si="13"/>
        <v>-</v>
      </c>
      <c r="AM32" s="17" t="str">
        <f t="shared" si="14"/>
        <v>-</v>
      </c>
      <c r="AN32" s="17" t="str">
        <f t="shared" si="15"/>
        <v>-</v>
      </c>
    </row>
    <row r="33" spans="2:40">
      <c r="B33" s="7">
        <v>10</v>
      </c>
      <c r="C33" s="8" t="s">
        <v>170</v>
      </c>
      <c r="D33" s="89">
        <v>2</v>
      </c>
      <c r="E33" s="89"/>
      <c r="F33" s="89">
        <v>2.1</v>
      </c>
      <c r="G33" s="89"/>
      <c r="H33" s="89">
        <v>1.9</v>
      </c>
      <c r="I33" s="89"/>
      <c r="J33" s="89">
        <v>1.6</v>
      </c>
      <c r="K33" s="89"/>
      <c r="L33" s="89" t="s">
        <v>112</v>
      </c>
      <c r="M33" s="89"/>
      <c r="O33" s="3">
        <v>3.5</v>
      </c>
      <c r="P33" s="4">
        <f t="shared" si="17"/>
        <v>50.4997583515717</v>
      </c>
      <c r="Q33" s="4">
        <f t="shared" si="18"/>
        <v>93.575420202054602</v>
      </c>
      <c r="R33" s="4">
        <f t="shared" si="19"/>
        <v>93.501399185725901</v>
      </c>
      <c r="S33" s="4">
        <f t="shared" si="20"/>
        <v>107.99702606347</v>
      </c>
      <c r="T33" s="4">
        <f t="shared" si="21"/>
        <v>114.99683330832499</v>
      </c>
      <c r="AH33" s="13">
        <f t="shared" si="10"/>
        <v>19</v>
      </c>
      <c r="AI33" s="17">
        <f t="shared" si="11"/>
        <v>2.7</v>
      </c>
      <c r="AJ33" s="21">
        <f t="shared" si="16"/>
        <v>2.9</v>
      </c>
      <c r="AK33" s="17">
        <f t="shared" si="12"/>
        <v>2.9</v>
      </c>
      <c r="AL33" s="17">
        <f t="shared" si="13"/>
        <v>2.4</v>
      </c>
      <c r="AM33" s="17">
        <f t="shared" si="14"/>
        <v>2.4</v>
      </c>
      <c r="AN33" s="17">
        <f t="shared" si="15"/>
        <v>2.4</v>
      </c>
    </row>
    <row r="34" spans="2:40">
      <c r="B34" s="7">
        <v>11</v>
      </c>
      <c r="C34" s="8" t="s">
        <v>173</v>
      </c>
      <c r="D34" s="89">
        <v>1.2</v>
      </c>
      <c r="E34" s="89"/>
      <c r="F34" s="89">
        <v>1.4</v>
      </c>
      <c r="G34" s="89"/>
      <c r="H34" s="89">
        <v>2.1</v>
      </c>
      <c r="I34" s="89"/>
      <c r="J34" s="89">
        <v>1</v>
      </c>
      <c r="K34" s="89"/>
      <c r="L34" s="89" t="s">
        <v>112</v>
      </c>
      <c r="M34" s="89"/>
      <c r="O34" s="3">
        <v>4</v>
      </c>
      <c r="P34" s="4">
        <f t="shared" si="17"/>
        <v>51.999956760506599</v>
      </c>
      <c r="Q34" s="4">
        <f t="shared" si="18"/>
        <v>99.177025295098005</v>
      </c>
      <c r="R34" s="4">
        <f t="shared" si="19"/>
        <v>97.459376686765495</v>
      </c>
      <c r="S34" s="4">
        <f t="shared" si="20"/>
        <v>111.999311848216</v>
      </c>
      <c r="T34" s="4">
        <f t="shared" si="21"/>
        <v>119.99926269451799</v>
      </c>
      <c r="AH34" s="13">
        <f t="shared" si="10"/>
        <v>20</v>
      </c>
      <c r="AI34" s="17">
        <f t="shared" si="11"/>
        <v>3.4</v>
      </c>
      <c r="AJ34" s="21">
        <f t="shared" si="16"/>
        <v>3.8</v>
      </c>
      <c r="AK34" s="17">
        <f t="shared" si="12"/>
        <v>3.8</v>
      </c>
      <c r="AL34" s="17">
        <f t="shared" si="13"/>
        <v>3.1</v>
      </c>
      <c r="AM34" s="17">
        <f t="shared" si="14"/>
        <v>3.1</v>
      </c>
      <c r="AN34" s="17">
        <f t="shared" si="15"/>
        <v>3.1</v>
      </c>
    </row>
    <row r="35" spans="2:40">
      <c r="B35" s="7">
        <v>12</v>
      </c>
      <c r="C35" s="8" t="s">
        <v>176</v>
      </c>
      <c r="D35" s="89">
        <v>0.8</v>
      </c>
      <c r="E35" s="89"/>
      <c r="F35" s="89">
        <v>1.2</v>
      </c>
      <c r="G35" s="89"/>
      <c r="H35" s="89">
        <v>0.4</v>
      </c>
      <c r="I35" s="89"/>
      <c r="J35" s="89">
        <v>0.9</v>
      </c>
      <c r="K35" s="89"/>
      <c r="L35" s="89" t="s">
        <v>112</v>
      </c>
      <c r="M35" s="89"/>
      <c r="O35" s="3">
        <v>4.5</v>
      </c>
      <c r="P35" s="4">
        <f t="shared" si="17"/>
        <v>53.499992269355701</v>
      </c>
      <c r="Q35" s="4">
        <f t="shared" si="18"/>
        <v>104.525759001026</v>
      </c>
      <c r="R35" s="4">
        <f t="shared" si="19"/>
        <v>101.207690235454</v>
      </c>
      <c r="S35" s="4">
        <f t="shared" si="20"/>
        <v>115.999840968746</v>
      </c>
      <c r="T35" s="4">
        <f t="shared" si="21"/>
        <v>124.999828630114</v>
      </c>
    </row>
    <row r="36" spans="2:40">
      <c r="B36" s="7">
        <v>13</v>
      </c>
      <c r="C36" s="8" t="s">
        <v>179</v>
      </c>
      <c r="D36" s="89">
        <v>1.2</v>
      </c>
      <c r="E36" s="89"/>
      <c r="F36" s="89">
        <v>0.7</v>
      </c>
      <c r="G36" s="89"/>
      <c r="H36" s="89">
        <v>0.5</v>
      </c>
      <c r="I36" s="89"/>
      <c r="J36" s="89">
        <v>1</v>
      </c>
      <c r="K36" s="89"/>
      <c r="L36" s="89">
        <v>1</v>
      </c>
      <c r="M36" s="89"/>
      <c r="O36" s="3">
        <v>5</v>
      </c>
      <c r="P36" s="4">
        <f t="shared" si="17"/>
        <v>54.999998618950499</v>
      </c>
      <c r="Q36" s="4">
        <f t="shared" si="18"/>
        <v>109.727337260567</v>
      </c>
      <c r="R36" s="4">
        <f t="shared" si="19"/>
        <v>104.842138884737</v>
      </c>
      <c r="S36" s="4">
        <f t="shared" si="20"/>
        <v>119.999963291722</v>
      </c>
      <c r="T36" s="4">
        <f t="shared" si="21"/>
        <v>129.99996023269799</v>
      </c>
      <c r="AI36" s="161" t="str">
        <f>O16</f>
        <v>Tableau F.5.2.2 - Valeurs numériques des paramètres a, b, c des courbes fsol - Méthode pressiométrique</v>
      </c>
      <c r="AJ36" s="162"/>
      <c r="AK36" s="162"/>
      <c r="AL36" s="162"/>
      <c r="AM36" s="162"/>
      <c r="AN36" s="163"/>
    </row>
    <row r="37" spans="2:40" ht="16.5" customHeight="1">
      <c r="B37" s="7">
        <v>14</v>
      </c>
      <c r="C37" s="8" t="s">
        <v>182</v>
      </c>
      <c r="D37" s="89">
        <v>1.1000000000000001</v>
      </c>
      <c r="E37" s="89"/>
      <c r="F37" s="89">
        <v>1</v>
      </c>
      <c r="G37" s="89"/>
      <c r="H37" s="89">
        <v>0.4</v>
      </c>
      <c r="I37" s="89"/>
      <c r="J37" s="89">
        <v>1</v>
      </c>
      <c r="K37" s="89"/>
      <c r="L37" s="89">
        <v>0.9</v>
      </c>
      <c r="M37" s="89"/>
      <c r="O37" s="3">
        <v>5.5</v>
      </c>
      <c r="P37" s="4">
        <f t="shared" si="17"/>
        <v>56.499999753464401</v>
      </c>
      <c r="Q37" s="4">
        <f t="shared" si="18"/>
        <v>114.84355767568201</v>
      </c>
      <c r="R37" s="4">
        <f t="shared" si="19"/>
        <v>108.414842247178</v>
      </c>
      <c r="S37" s="4">
        <f t="shared" si="20"/>
        <v>123.999991536252</v>
      </c>
      <c r="T37" s="4">
        <f t="shared" si="21"/>
        <v>134.99999078543499</v>
      </c>
      <c r="AH37" s="15" t="s">
        <v>47</v>
      </c>
      <c r="AI37" s="15" t="str">
        <f>'Tableaux généraux'!$Z$25</f>
        <v>Argile % CaCO3 &lt; 30 % Limon</v>
      </c>
      <c r="AJ37" s="19" t="str">
        <f>'Tableaux généraux'!$Z$26</f>
        <v>Sols intermédiaires</v>
      </c>
      <c r="AK37" s="15" t="str">
        <f>'Tableaux généraux'!$Z$27</f>
        <v>Sable Grave</v>
      </c>
      <c r="AL37" s="15" t="str">
        <f>'Tableaux généraux'!$Z$28</f>
        <v>Craie</v>
      </c>
      <c r="AM37" s="15" t="str">
        <f>'Tableaux généraux'!$Z$29</f>
        <v>Marne et Calcaire-Marneux</v>
      </c>
      <c r="AN37" s="15" t="str">
        <f>'Tableaux généraux'!$Z$30</f>
        <v>Roche altérée ou fragmentée</v>
      </c>
    </row>
    <row r="38" spans="2:40">
      <c r="B38" s="7">
        <v>15</v>
      </c>
      <c r="C38" s="8" t="s">
        <v>187</v>
      </c>
      <c r="D38" s="89">
        <v>2.7</v>
      </c>
      <c r="E38" s="89"/>
      <c r="F38" s="89">
        <v>2.9</v>
      </c>
      <c r="G38" s="89"/>
      <c r="H38" s="89">
        <v>2.4</v>
      </c>
      <c r="I38" s="89"/>
      <c r="J38" s="89">
        <v>2.4</v>
      </c>
      <c r="K38" s="89"/>
      <c r="L38" s="89">
        <v>2.4</v>
      </c>
      <c r="M38" s="89"/>
      <c r="O38" s="3">
        <v>6</v>
      </c>
      <c r="P38" s="4">
        <f t="shared" si="17"/>
        <v>57.999999956021099</v>
      </c>
      <c r="Q38" s="4">
        <f t="shared" si="18"/>
        <v>119.910409702995</v>
      </c>
      <c r="R38" s="4">
        <f t="shared" si="19"/>
        <v>111.954109682354</v>
      </c>
      <c r="S38" s="4">
        <f t="shared" si="20"/>
        <v>127.99999805056299</v>
      </c>
      <c r="T38" s="4">
        <f t="shared" si="21"/>
        <v>139.99999786780299</v>
      </c>
      <c r="AH38" s="13" t="s">
        <v>248</v>
      </c>
      <c r="AI38" s="16" t="str">
        <f>Q19</f>
        <v>Q1</v>
      </c>
      <c r="AJ38" s="20" t="str">
        <f>AK38</f>
        <v>Q2</v>
      </c>
      <c r="AK38" s="16" t="str">
        <f>S19</f>
        <v>Q2</v>
      </c>
      <c r="AL38" s="16" t="str">
        <f>U19</f>
        <v>Q3</v>
      </c>
      <c r="AM38" s="16" t="str">
        <f>W19</f>
        <v>Q4</v>
      </c>
      <c r="AN38" s="16" t="str">
        <f>Y19</f>
        <v>Q5</v>
      </c>
    </row>
    <row r="39" spans="2:40" ht="15" customHeight="1">
      <c r="B39" s="7">
        <v>16</v>
      </c>
      <c r="C39" s="8" t="s">
        <v>190</v>
      </c>
      <c r="D39" s="89">
        <v>0.9</v>
      </c>
      <c r="E39" s="89"/>
      <c r="F39" s="89">
        <v>0.8</v>
      </c>
      <c r="G39" s="89"/>
      <c r="H39" s="89">
        <v>0.4</v>
      </c>
      <c r="I39" s="89"/>
      <c r="J39" s="89">
        <v>1.2</v>
      </c>
      <c r="K39" s="89"/>
      <c r="L39" s="89">
        <v>1.2</v>
      </c>
      <c r="M39" s="89"/>
      <c r="O39" s="3">
        <v>6.5</v>
      </c>
      <c r="P39" s="4">
        <f t="shared" si="17"/>
        <v>59.499999992159999</v>
      </c>
      <c r="Q39" s="4">
        <f t="shared" si="18"/>
        <v>124.948783127628</v>
      </c>
      <c r="R39" s="4">
        <f t="shared" si="19"/>
        <v>115.47529450202499</v>
      </c>
      <c r="S39" s="4">
        <f t="shared" si="20"/>
        <v>131.999999551429</v>
      </c>
      <c r="T39" s="4">
        <f t="shared" si="21"/>
        <v>144.999999507251</v>
      </c>
      <c r="AH39" s="13" t="s">
        <v>51</v>
      </c>
      <c r="AI39" s="17">
        <f>Q20</f>
        <v>3.0000000000000001E-3</v>
      </c>
      <c r="AJ39" s="20">
        <f t="shared" ref="AJ39:AJ41" si="22">AK39</f>
        <v>0.01</v>
      </c>
      <c r="AK39" s="17">
        <f>S20</f>
        <v>0.01</v>
      </c>
      <c r="AL39" s="17">
        <f>U20</f>
        <v>7.0000000000000001E-3</v>
      </c>
      <c r="AM39" s="17">
        <f>W20</f>
        <v>8.0000000000000002E-3</v>
      </c>
      <c r="AN39" s="17">
        <f>Y20</f>
        <v>0.01</v>
      </c>
    </row>
    <row r="40" spans="2:40">
      <c r="B40" s="7">
        <v>17</v>
      </c>
      <c r="C40" s="8" t="s">
        <v>185</v>
      </c>
      <c r="D40" s="89" t="s">
        <v>112</v>
      </c>
      <c r="E40" s="89"/>
      <c r="F40" s="89" t="s">
        <v>112</v>
      </c>
      <c r="G40" s="89"/>
      <c r="H40" s="89" t="s">
        <v>112</v>
      </c>
      <c r="I40" s="89"/>
      <c r="J40" s="89" t="s">
        <v>112</v>
      </c>
      <c r="K40" s="89"/>
      <c r="L40" s="89" t="s">
        <v>112</v>
      </c>
      <c r="M40" s="89"/>
      <c r="O40" s="3">
        <v>7</v>
      </c>
      <c r="P40" s="4">
        <f t="shared" si="17"/>
        <v>60.9999999986033</v>
      </c>
      <c r="Q40" s="4">
        <f t="shared" si="18"/>
        <v>129.970767247857</v>
      </c>
      <c r="R40" s="4">
        <f t="shared" si="19"/>
        <v>118.98671176879</v>
      </c>
      <c r="S40" s="4">
        <f t="shared" si="20"/>
        <v>135.999999896877</v>
      </c>
      <c r="T40" s="4">
        <f t="shared" si="21"/>
        <v>149.999999886262</v>
      </c>
      <c r="AH40" s="13" t="s">
        <v>52</v>
      </c>
      <c r="AI40" s="17">
        <f>Q21</f>
        <v>0.04</v>
      </c>
      <c r="AJ40" s="20">
        <f t="shared" si="22"/>
        <v>0.06</v>
      </c>
      <c r="AK40" s="17">
        <f>S21</f>
        <v>0.06</v>
      </c>
      <c r="AL40" s="17">
        <f>U21</f>
        <v>7.0000000000000007E-2</v>
      </c>
      <c r="AM40" s="17">
        <f>W21</f>
        <v>0.08</v>
      </c>
      <c r="AN40" s="17">
        <f>Y21</f>
        <v>0.08</v>
      </c>
    </row>
    <row r="41" spans="2:40">
      <c r="B41" s="7">
        <v>18</v>
      </c>
      <c r="C41" s="8" t="s">
        <v>189</v>
      </c>
      <c r="D41" s="89" t="s">
        <v>112</v>
      </c>
      <c r="E41" s="89"/>
      <c r="F41" s="89" t="s">
        <v>112</v>
      </c>
      <c r="G41" s="89"/>
      <c r="H41" s="89" t="s">
        <v>112</v>
      </c>
      <c r="I41" s="89"/>
      <c r="J41" s="89" t="s">
        <v>112</v>
      </c>
      <c r="K41" s="89"/>
      <c r="L41" s="89" t="s">
        <v>112</v>
      </c>
      <c r="M41" s="89"/>
      <c r="AH41" s="13" t="s">
        <v>53</v>
      </c>
      <c r="AI41" s="17">
        <f>Q22</f>
        <v>3.5</v>
      </c>
      <c r="AJ41" s="20">
        <f t="shared" si="22"/>
        <v>1.2</v>
      </c>
      <c r="AK41" s="17">
        <f>S22</f>
        <v>1.2</v>
      </c>
      <c r="AL41" s="17">
        <f>U22</f>
        <v>1.3</v>
      </c>
      <c r="AM41" s="17">
        <f>W22</f>
        <v>3</v>
      </c>
      <c r="AN41" s="17">
        <f>Y22</f>
        <v>3</v>
      </c>
    </row>
    <row r="42" spans="2:40">
      <c r="B42" s="7">
        <v>19</v>
      </c>
      <c r="C42" s="8" t="s">
        <v>192</v>
      </c>
      <c r="D42" s="89">
        <v>2.7</v>
      </c>
      <c r="E42" s="89"/>
      <c r="F42" s="89">
        <v>2.9</v>
      </c>
      <c r="G42" s="89"/>
      <c r="H42" s="89">
        <v>2.4</v>
      </c>
      <c r="I42" s="89"/>
      <c r="J42" s="89">
        <v>2.4</v>
      </c>
      <c r="K42" s="89"/>
      <c r="L42" s="89">
        <v>2.4</v>
      </c>
      <c r="M42" s="89"/>
    </row>
    <row r="43" spans="2:40">
      <c r="B43" s="7">
        <v>20</v>
      </c>
      <c r="C43" s="8" t="s">
        <v>194</v>
      </c>
      <c r="D43" s="89">
        <v>3.4</v>
      </c>
      <c r="E43" s="89"/>
      <c r="F43" s="89">
        <v>3.8</v>
      </c>
      <c r="G43" s="89"/>
      <c r="H43" s="89">
        <v>3.1</v>
      </c>
      <c r="I43" s="89"/>
      <c r="J43" s="89">
        <v>3.1</v>
      </c>
      <c r="K43" s="89"/>
      <c r="L43" s="89">
        <v>3.1</v>
      </c>
      <c r="M43" s="89"/>
    </row>
    <row r="44" spans="2:40" ht="15" customHeight="1">
      <c r="B44" s="206" t="s">
        <v>249</v>
      </c>
      <c r="C44" s="207"/>
      <c r="D44" s="207"/>
      <c r="E44" s="207"/>
      <c r="F44" s="207"/>
      <c r="G44" s="207"/>
      <c r="H44" s="207"/>
      <c r="I44" s="207"/>
      <c r="J44" s="207"/>
      <c r="K44" s="207"/>
      <c r="L44" s="207"/>
      <c r="M44" s="208"/>
    </row>
    <row r="45" spans="2:40">
      <c r="B45" s="209"/>
      <c r="C45" s="210"/>
      <c r="D45" s="210"/>
      <c r="E45" s="210"/>
      <c r="F45" s="210"/>
      <c r="G45" s="210"/>
      <c r="H45" s="210"/>
      <c r="I45" s="210"/>
      <c r="J45" s="210"/>
      <c r="K45" s="210"/>
      <c r="L45" s="210"/>
      <c r="M45" s="211"/>
    </row>
    <row r="46" spans="2:40">
      <c r="B46" s="209"/>
      <c r="C46" s="210"/>
      <c r="D46" s="210"/>
      <c r="E46" s="210"/>
      <c r="F46" s="210"/>
      <c r="G46" s="210"/>
      <c r="H46" s="210"/>
      <c r="I46" s="210"/>
      <c r="J46" s="210"/>
      <c r="K46" s="210"/>
      <c r="L46" s="210"/>
      <c r="M46" s="211"/>
    </row>
    <row r="47" spans="2:40">
      <c r="B47" s="209"/>
      <c r="C47" s="210"/>
      <c r="D47" s="210"/>
      <c r="E47" s="210"/>
      <c r="F47" s="210"/>
      <c r="G47" s="210"/>
      <c r="H47" s="210"/>
      <c r="I47" s="210"/>
      <c r="J47" s="210"/>
      <c r="K47" s="210"/>
      <c r="L47" s="210"/>
      <c r="M47" s="211"/>
    </row>
    <row r="48" spans="2:40">
      <c r="B48" s="209"/>
      <c r="C48" s="210"/>
      <c r="D48" s="210"/>
      <c r="E48" s="210"/>
      <c r="F48" s="210"/>
      <c r="G48" s="210"/>
      <c r="H48" s="210"/>
      <c r="I48" s="210"/>
      <c r="J48" s="210"/>
      <c r="K48" s="210"/>
      <c r="L48" s="210"/>
      <c r="M48" s="211"/>
    </row>
    <row r="49" spans="2:13">
      <c r="B49" s="209"/>
      <c r="C49" s="210"/>
      <c r="D49" s="210"/>
      <c r="E49" s="210"/>
      <c r="F49" s="210"/>
      <c r="G49" s="210"/>
      <c r="H49" s="210"/>
      <c r="I49" s="210"/>
      <c r="J49" s="210"/>
      <c r="K49" s="210"/>
      <c r="L49" s="210"/>
      <c r="M49" s="211"/>
    </row>
    <row r="50" spans="2:13">
      <c r="B50" s="209"/>
      <c r="C50" s="210"/>
      <c r="D50" s="210"/>
      <c r="E50" s="210"/>
      <c r="F50" s="210"/>
      <c r="G50" s="210"/>
      <c r="H50" s="210"/>
      <c r="I50" s="210"/>
      <c r="J50" s="210"/>
      <c r="K50" s="210"/>
      <c r="L50" s="210"/>
      <c r="M50" s="211"/>
    </row>
    <row r="51" spans="2:13">
      <c r="B51" s="209"/>
      <c r="C51" s="210"/>
      <c r="D51" s="210"/>
      <c r="E51" s="210"/>
      <c r="F51" s="210"/>
      <c r="G51" s="210"/>
      <c r="H51" s="210"/>
      <c r="I51" s="210"/>
      <c r="J51" s="210"/>
      <c r="K51" s="210"/>
      <c r="L51" s="210"/>
      <c r="M51" s="211"/>
    </row>
    <row r="52" spans="2:13">
      <c r="B52" s="209"/>
      <c r="C52" s="210"/>
      <c r="D52" s="210"/>
      <c r="E52" s="210"/>
      <c r="F52" s="210"/>
      <c r="G52" s="210"/>
      <c r="H52" s="210"/>
      <c r="I52" s="210"/>
      <c r="J52" s="210"/>
      <c r="K52" s="210"/>
      <c r="L52" s="210"/>
      <c r="M52" s="211"/>
    </row>
    <row r="53" spans="2:13">
      <c r="B53" s="209"/>
      <c r="C53" s="210"/>
      <c r="D53" s="210"/>
      <c r="E53" s="210"/>
      <c r="F53" s="210"/>
      <c r="G53" s="210"/>
      <c r="H53" s="210"/>
      <c r="I53" s="210"/>
      <c r="J53" s="210"/>
      <c r="K53" s="210"/>
      <c r="L53" s="210"/>
      <c r="M53" s="211"/>
    </row>
    <row r="54" spans="2:13">
      <c r="B54" s="209"/>
      <c r="C54" s="210"/>
      <c r="D54" s="210"/>
      <c r="E54" s="210"/>
      <c r="F54" s="210"/>
      <c r="G54" s="210"/>
      <c r="H54" s="210"/>
      <c r="I54" s="210"/>
      <c r="J54" s="210"/>
      <c r="K54" s="210"/>
      <c r="L54" s="210"/>
      <c r="M54" s="211"/>
    </row>
    <row r="55" spans="2:13">
      <c r="B55" s="209"/>
      <c r="C55" s="210"/>
      <c r="D55" s="210"/>
      <c r="E55" s="210"/>
      <c r="F55" s="210"/>
      <c r="G55" s="210"/>
      <c r="H55" s="210"/>
      <c r="I55" s="210"/>
      <c r="J55" s="210"/>
      <c r="K55" s="210"/>
      <c r="L55" s="210"/>
      <c r="M55" s="211"/>
    </row>
    <row r="56" spans="2:13">
      <c r="B56" s="212"/>
      <c r="C56" s="213"/>
      <c r="D56" s="213"/>
      <c r="E56" s="213"/>
      <c r="F56" s="213"/>
      <c r="G56" s="213"/>
      <c r="H56" s="213"/>
      <c r="I56" s="213"/>
      <c r="J56" s="213"/>
      <c r="K56" s="213"/>
      <c r="L56" s="213"/>
      <c r="M56" s="214"/>
    </row>
    <row r="57" spans="2:13" ht="15" customHeight="1"/>
    <row r="58" spans="2:13" ht="15" customHeight="1"/>
    <row r="59" spans="2:13" ht="15" customHeight="1"/>
  </sheetData>
  <mergeCells count="227">
    <mergeCell ref="B44:M56"/>
    <mergeCell ref="D4:E5"/>
    <mergeCell ref="F4:G5"/>
    <mergeCell ref="H4:I5"/>
    <mergeCell ref="J4:K5"/>
    <mergeCell ref="L4:M5"/>
    <mergeCell ref="AP19:AP20"/>
    <mergeCell ref="AP22:AP23"/>
    <mergeCell ref="AP24:AP25"/>
    <mergeCell ref="O4:Q8"/>
    <mergeCell ref="R4:S6"/>
    <mergeCell ref="T4:U6"/>
    <mergeCell ref="T9:U14"/>
    <mergeCell ref="O13:Q14"/>
    <mergeCell ref="O11:Q12"/>
    <mergeCell ref="O9:Q10"/>
    <mergeCell ref="O17:P18"/>
    <mergeCell ref="Q17:R18"/>
    <mergeCell ref="S17:T18"/>
    <mergeCell ref="U17:V18"/>
    <mergeCell ref="W17:X18"/>
    <mergeCell ref="Y17:Z18"/>
    <mergeCell ref="S7:S8"/>
    <mergeCell ref="S9:S10"/>
    <mergeCell ref="S11:S12"/>
    <mergeCell ref="S13:S14"/>
    <mergeCell ref="T7:T8"/>
    <mergeCell ref="U7:U8"/>
    <mergeCell ref="AP6:AP10"/>
    <mergeCell ref="AP12:AP13"/>
    <mergeCell ref="AP14:AP17"/>
    <mergeCell ref="D43:E43"/>
    <mergeCell ref="F43:G43"/>
    <mergeCell ref="H43:I43"/>
    <mergeCell ref="J43:K43"/>
    <mergeCell ref="L43:M43"/>
    <mergeCell ref="B22:B23"/>
    <mergeCell ref="C22:C23"/>
    <mergeCell ref="R7:R8"/>
    <mergeCell ref="R9:R10"/>
    <mergeCell ref="R11:R12"/>
    <mergeCell ref="R13:R14"/>
    <mergeCell ref="B14:M19"/>
    <mergeCell ref="D22:E23"/>
    <mergeCell ref="F22:G23"/>
    <mergeCell ref="H22:I23"/>
    <mergeCell ref="J22:K23"/>
    <mergeCell ref="L22:M23"/>
    <mergeCell ref="D41:E41"/>
    <mergeCell ref="F41:G41"/>
    <mergeCell ref="H41:I41"/>
    <mergeCell ref="J41:K41"/>
    <mergeCell ref="L41:M41"/>
    <mergeCell ref="D42:E42"/>
    <mergeCell ref="F42:G42"/>
    <mergeCell ref="H42:I42"/>
    <mergeCell ref="J42:K42"/>
    <mergeCell ref="L42:M42"/>
    <mergeCell ref="D39:E39"/>
    <mergeCell ref="F39:G39"/>
    <mergeCell ref="H39:I39"/>
    <mergeCell ref="J39:K39"/>
    <mergeCell ref="L39:M39"/>
    <mergeCell ref="D40:E40"/>
    <mergeCell ref="F40:G40"/>
    <mergeCell ref="H40:I40"/>
    <mergeCell ref="J40:K40"/>
    <mergeCell ref="L40:M40"/>
    <mergeCell ref="AI36:AN36"/>
    <mergeCell ref="D37:E37"/>
    <mergeCell ref="F37:G37"/>
    <mergeCell ref="H37:I37"/>
    <mergeCell ref="J37:K37"/>
    <mergeCell ref="L37:M37"/>
    <mergeCell ref="D38:E38"/>
    <mergeCell ref="F38:G38"/>
    <mergeCell ref="H38:I38"/>
    <mergeCell ref="J38:K38"/>
    <mergeCell ref="L38:M38"/>
    <mergeCell ref="D35:E35"/>
    <mergeCell ref="F35:G35"/>
    <mergeCell ref="H35:I35"/>
    <mergeCell ref="J35:K35"/>
    <mergeCell ref="L35:M35"/>
    <mergeCell ref="D36:E36"/>
    <mergeCell ref="F36:G36"/>
    <mergeCell ref="H36:I36"/>
    <mergeCell ref="J36:K36"/>
    <mergeCell ref="L36:M36"/>
    <mergeCell ref="D33:E33"/>
    <mergeCell ref="F33:G33"/>
    <mergeCell ref="H33:I33"/>
    <mergeCell ref="J33:K33"/>
    <mergeCell ref="L33:M33"/>
    <mergeCell ref="D34:E34"/>
    <mergeCell ref="F34:G34"/>
    <mergeCell ref="H34:I34"/>
    <mergeCell ref="J34:K34"/>
    <mergeCell ref="L34:M34"/>
    <mergeCell ref="D31:E31"/>
    <mergeCell ref="F31:G31"/>
    <mergeCell ref="H31:I31"/>
    <mergeCell ref="J31:K31"/>
    <mergeCell ref="L31:M31"/>
    <mergeCell ref="D32:E32"/>
    <mergeCell ref="F32:G32"/>
    <mergeCell ref="H32:I32"/>
    <mergeCell ref="J32:K32"/>
    <mergeCell ref="L32:M32"/>
    <mergeCell ref="D29:E29"/>
    <mergeCell ref="F29:G29"/>
    <mergeCell ref="H29:I29"/>
    <mergeCell ref="J29:K29"/>
    <mergeCell ref="L29:M29"/>
    <mergeCell ref="D30:E30"/>
    <mergeCell ref="F30:G30"/>
    <mergeCell ref="H30:I30"/>
    <mergeCell ref="J30:K30"/>
    <mergeCell ref="L30:M30"/>
    <mergeCell ref="D27:E27"/>
    <mergeCell ref="F27:G27"/>
    <mergeCell ref="H27:I27"/>
    <mergeCell ref="J27:K27"/>
    <mergeCell ref="L27:M27"/>
    <mergeCell ref="D28:E28"/>
    <mergeCell ref="F28:G28"/>
    <mergeCell ref="H28:I28"/>
    <mergeCell ref="J28:K28"/>
    <mergeCell ref="L28:M28"/>
    <mergeCell ref="D25:E25"/>
    <mergeCell ref="F25:G25"/>
    <mergeCell ref="H25:I25"/>
    <mergeCell ref="J25:K25"/>
    <mergeCell ref="L25:M25"/>
    <mergeCell ref="D26:E26"/>
    <mergeCell ref="F26:G26"/>
    <mergeCell ref="H26:I26"/>
    <mergeCell ref="J26:K26"/>
    <mergeCell ref="L26:M26"/>
    <mergeCell ref="O22:P22"/>
    <mergeCell ref="Q22:R22"/>
    <mergeCell ref="S22:T22"/>
    <mergeCell ref="U22:V22"/>
    <mergeCell ref="W22:X22"/>
    <mergeCell ref="Y22:Z22"/>
    <mergeCell ref="D24:E24"/>
    <mergeCell ref="F24:G24"/>
    <mergeCell ref="H24:I24"/>
    <mergeCell ref="J24:K24"/>
    <mergeCell ref="L24:M24"/>
    <mergeCell ref="O20:P20"/>
    <mergeCell ref="Q20:R20"/>
    <mergeCell ref="S20:T20"/>
    <mergeCell ref="U20:V20"/>
    <mergeCell ref="W20:X20"/>
    <mergeCell ref="Y20:Z20"/>
    <mergeCell ref="B21:M21"/>
    <mergeCell ref="O21:P21"/>
    <mergeCell ref="Q21:R21"/>
    <mergeCell ref="S21:T21"/>
    <mergeCell ref="U21:V21"/>
    <mergeCell ref="W21:X21"/>
    <mergeCell ref="Y21:Z21"/>
    <mergeCell ref="B13:C13"/>
    <mergeCell ref="D13:E13"/>
    <mergeCell ref="F13:G13"/>
    <mergeCell ref="H13:I13"/>
    <mergeCell ref="J13:K13"/>
    <mergeCell ref="L13:M13"/>
    <mergeCell ref="AH13:AN13"/>
    <mergeCell ref="O16:Z16"/>
    <mergeCell ref="O19:P19"/>
    <mergeCell ref="Q19:R19"/>
    <mergeCell ref="S19:T19"/>
    <mergeCell ref="U19:V19"/>
    <mergeCell ref="W19:X19"/>
    <mergeCell ref="Y19:Z19"/>
    <mergeCell ref="B11:C11"/>
    <mergeCell ref="D11:E11"/>
    <mergeCell ref="F11:G11"/>
    <mergeCell ref="H11:I11"/>
    <mergeCell ref="J11:K11"/>
    <mergeCell ref="L11:M11"/>
    <mergeCell ref="B12:C12"/>
    <mergeCell ref="D12:E12"/>
    <mergeCell ref="F12:G12"/>
    <mergeCell ref="H12:I12"/>
    <mergeCell ref="J12:K12"/>
    <mergeCell ref="L12:M12"/>
    <mergeCell ref="B9:C9"/>
    <mergeCell ref="D9:E9"/>
    <mergeCell ref="F9:G9"/>
    <mergeCell ref="H9:I9"/>
    <mergeCell ref="J9:K9"/>
    <mergeCell ref="L9:M9"/>
    <mergeCell ref="B10:C10"/>
    <mergeCell ref="D10:E10"/>
    <mergeCell ref="F10:G10"/>
    <mergeCell ref="H10:I10"/>
    <mergeCell ref="J10:K10"/>
    <mergeCell ref="L10:M10"/>
    <mergeCell ref="B7:C7"/>
    <mergeCell ref="D7:E7"/>
    <mergeCell ref="F7:G7"/>
    <mergeCell ref="H7:I7"/>
    <mergeCell ref="J7:K7"/>
    <mergeCell ref="L7:M7"/>
    <mergeCell ref="B8:C8"/>
    <mergeCell ref="D8:E8"/>
    <mergeCell ref="F8:G8"/>
    <mergeCell ref="H8:I8"/>
    <mergeCell ref="J8:K8"/>
    <mergeCell ref="L8:M8"/>
    <mergeCell ref="AH2:AN2"/>
    <mergeCell ref="AP2:AS2"/>
    <mergeCell ref="B3:M3"/>
    <mergeCell ref="O3:U3"/>
    <mergeCell ref="AP3:AR3"/>
    <mergeCell ref="B4:C4"/>
    <mergeCell ref="AP4:AR4"/>
    <mergeCell ref="B5:C5"/>
    <mergeCell ref="B6:C6"/>
    <mergeCell ref="D6:E6"/>
    <mergeCell ref="F6:G6"/>
    <mergeCell ref="H6:I6"/>
    <mergeCell ref="J6:K6"/>
    <mergeCell ref="L6:M6"/>
  </mergeCells>
  <pageMargins left="0.7" right="0.7" top="0.75" bottom="0.75" header="0.3" footer="0.3"/>
  <pageSetup paperSize="9" orientation="portrait"/>
  <ignoredErrors>
    <ignoredError sqref="AR20:AR21 AR15"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S66"/>
  <sheetViews>
    <sheetView showGridLines="0" topLeftCell="A51" workbookViewId="0">
      <selection activeCell="J12" sqref="J12:K12"/>
    </sheetView>
  </sheetViews>
  <sheetFormatPr defaultColWidth="11" defaultRowHeight="14.4" outlineLevelCol="1"/>
  <cols>
    <col min="1" max="1" width="5.6640625" customWidth="1"/>
    <col min="16" max="16" width="5.6640625" customWidth="1"/>
    <col min="33" max="44" width="11" hidden="1" customWidth="1" outlineLevel="1"/>
    <col min="45" max="45" width="11.44140625" collapsed="1"/>
  </cols>
  <sheetData>
    <row r="1" spans="2:44" ht="21">
      <c r="B1" s="1" t="s">
        <v>250</v>
      </c>
    </row>
    <row r="2" spans="2:44">
      <c r="AG2" s="164" t="str">
        <f>B3</f>
        <v>Tableau G.4.2.1 - Valeur du facteur de portance pénétrométrique kcmax pour un encastrement relatif Def/B &gt;5</v>
      </c>
      <c r="AH2" s="164"/>
      <c r="AI2" s="164"/>
      <c r="AJ2" s="164"/>
      <c r="AK2" s="164"/>
      <c r="AL2" s="164"/>
      <c r="AM2" s="164"/>
      <c r="AO2" s="164" t="str">
        <f>Q3</f>
        <v>Tableau G.2.1 - Valeur des coefficients de modèle pour la méthode pénétrométrique</v>
      </c>
      <c r="AP2" s="164"/>
      <c r="AQ2" s="164"/>
      <c r="AR2" s="164"/>
    </row>
    <row r="3" spans="2:44" ht="18" customHeight="1">
      <c r="B3" s="166" t="s">
        <v>251</v>
      </c>
      <c r="C3" s="166"/>
      <c r="D3" s="166"/>
      <c r="E3" s="166"/>
      <c r="F3" s="166"/>
      <c r="G3" s="166"/>
      <c r="H3" s="166"/>
      <c r="I3" s="166"/>
      <c r="J3" s="166"/>
      <c r="K3" s="166"/>
      <c r="L3" s="166"/>
      <c r="M3" s="166"/>
      <c r="N3" s="166"/>
      <c r="O3" s="166"/>
      <c r="Q3" s="182" t="s">
        <v>252</v>
      </c>
      <c r="R3" s="182"/>
      <c r="S3" s="182"/>
      <c r="T3" s="182"/>
      <c r="U3" s="182"/>
      <c r="V3" s="182"/>
      <c r="W3" s="182"/>
      <c r="AG3" s="14" t="s">
        <v>131</v>
      </c>
      <c r="AH3" s="15" t="str">
        <f>'Tableaux généraux'!$Z$25</f>
        <v>Argile % CaCO3 &lt; 30 % Limon</v>
      </c>
      <c r="AI3" s="15" t="str">
        <f>'Tableaux généraux'!$Z$26</f>
        <v>Sols intermédiaires</v>
      </c>
      <c r="AJ3" s="15" t="str">
        <f>'Tableaux généraux'!$Z$27</f>
        <v>Sable Grave</v>
      </c>
      <c r="AK3" s="15" t="str">
        <f>'Tableaux généraux'!$Z$28</f>
        <v>Craie</v>
      </c>
      <c r="AL3" s="15" t="str">
        <f>'Tableaux généraux'!$Z$29</f>
        <v>Marne et Calcaire-Marneux</v>
      </c>
      <c r="AM3" s="15" t="str">
        <f>'Tableaux généraux'!$Z$30</f>
        <v>Roche altérée ou fragmentée</v>
      </c>
      <c r="AO3" s="161" t="s">
        <v>17</v>
      </c>
      <c r="AP3" s="162"/>
      <c r="AQ3" s="163"/>
      <c r="AR3" s="13" t="str">
        <f>Calculs!G15</f>
        <v>Compression</v>
      </c>
    </row>
    <row r="4" spans="2:44" ht="15" customHeight="1">
      <c r="B4" s="169" t="s">
        <v>217</v>
      </c>
      <c r="C4" s="169"/>
      <c r="D4" s="143" t="s">
        <v>139</v>
      </c>
      <c r="E4" s="143"/>
      <c r="F4" s="143" t="s">
        <v>253</v>
      </c>
      <c r="G4" s="143"/>
      <c r="H4" s="143" t="s">
        <v>141</v>
      </c>
      <c r="I4" s="143"/>
      <c r="J4" s="143" t="s">
        <v>142</v>
      </c>
      <c r="K4" s="143"/>
      <c r="L4" s="156" t="s">
        <v>80</v>
      </c>
      <c r="M4" s="157"/>
      <c r="N4" s="156" t="s">
        <v>254</v>
      </c>
      <c r="O4" s="157"/>
      <c r="Q4" s="183"/>
      <c r="R4" s="183"/>
      <c r="S4" s="183"/>
      <c r="T4" s="198" t="s">
        <v>221</v>
      </c>
      <c r="U4" s="198"/>
      <c r="V4" s="198" t="s">
        <v>222</v>
      </c>
      <c r="W4" s="198"/>
      <c r="AG4" s="13">
        <f>B6</f>
        <v>1</v>
      </c>
      <c r="AH4" s="16">
        <f>D6</f>
        <v>0.4</v>
      </c>
      <c r="AI4" s="16">
        <f>F6</f>
        <v>0.3</v>
      </c>
      <c r="AJ4" s="16">
        <f>H6</f>
        <v>0.2</v>
      </c>
      <c r="AK4" s="16">
        <f>J6</f>
        <v>0.3</v>
      </c>
      <c r="AL4" s="16">
        <f>L6</f>
        <v>0.3</v>
      </c>
      <c r="AM4" s="16">
        <f>N6</f>
        <v>0.3</v>
      </c>
      <c r="AO4" s="161" t="s">
        <v>223</v>
      </c>
      <c r="AP4" s="162"/>
      <c r="AQ4" s="163"/>
      <c r="AR4" s="13" t="str">
        <f>IF(Calculs!L10='Tableaux généraux'!Z28,"OUI","NON")</f>
        <v>NON</v>
      </c>
    </row>
    <row r="5" spans="2:44">
      <c r="B5" s="183" t="s">
        <v>224</v>
      </c>
      <c r="C5" s="183"/>
      <c r="D5" s="143"/>
      <c r="E5" s="143"/>
      <c r="F5" s="143"/>
      <c r="G5" s="143"/>
      <c r="H5" s="143"/>
      <c r="I5" s="143"/>
      <c r="J5" s="143"/>
      <c r="K5" s="143"/>
      <c r="L5" s="158"/>
      <c r="M5" s="159"/>
      <c r="N5" s="158"/>
      <c r="O5" s="159"/>
      <c r="Q5" s="183"/>
      <c r="R5" s="183"/>
      <c r="S5" s="183"/>
      <c r="T5" s="199"/>
      <c r="U5" s="199"/>
      <c r="V5" s="199"/>
      <c r="W5" s="199"/>
      <c r="AG5" s="13">
        <f t="shared" ref="AG5:AG11" si="0">B7</f>
        <v>2</v>
      </c>
      <c r="AH5" s="17">
        <f t="shared" ref="AH5:AH11" si="1">D7</f>
        <v>0.45</v>
      </c>
      <c r="AI5" s="17">
        <f t="shared" ref="AI5:AI11" si="2">F7</f>
        <v>0.3</v>
      </c>
      <c r="AJ5" s="17">
        <f t="shared" ref="AJ5:AJ11" si="3">H7</f>
        <v>0.25</v>
      </c>
      <c r="AK5" s="17">
        <f t="shared" ref="AK5:AK11" si="4">J7</f>
        <v>0.3</v>
      </c>
      <c r="AL5" s="17">
        <f t="shared" ref="AL5:AL11" si="5">L7</f>
        <v>0.3</v>
      </c>
      <c r="AM5" s="17">
        <f t="shared" ref="AM5:AM11" si="6">N7</f>
        <v>0.3</v>
      </c>
      <c r="AO5" s="14" t="s">
        <v>131</v>
      </c>
      <c r="AP5" s="14" t="s">
        <v>132</v>
      </c>
      <c r="AQ5" s="14" t="s">
        <v>225</v>
      </c>
      <c r="AR5" s="14" t="s">
        <v>226</v>
      </c>
    </row>
    <row r="6" spans="2:44">
      <c r="B6" s="183">
        <v>1</v>
      </c>
      <c r="C6" s="183"/>
      <c r="D6" s="184">
        <v>0.4</v>
      </c>
      <c r="E6" s="184"/>
      <c r="F6" s="184">
        <v>0.3</v>
      </c>
      <c r="G6" s="184"/>
      <c r="H6" s="184">
        <v>0.2</v>
      </c>
      <c r="I6" s="184"/>
      <c r="J6" s="184">
        <v>0.3</v>
      </c>
      <c r="K6" s="184"/>
      <c r="L6" s="184">
        <v>0.3</v>
      </c>
      <c r="M6" s="184"/>
      <c r="N6" s="184">
        <v>0.3</v>
      </c>
      <c r="O6" s="184"/>
      <c r="Q6" s="183"/>
      <c r="R6" s="183"/>
      <c r="S6" s="183"/>
      <c r="T6" s="199"/>
      <c r="U6" s="199"/>
      <c r="V6" s="199"/>
      <c r="W6" s="199"/>
      <c r="AG6" s="13">
        <f t="shared" si="0"/>
        <v>3</v>
      </c>
      <c r="AH6" s="17">
        <f t="shared" si="1"/>
        <v>0.5</v>
      </c>
      <c r="AI6" s="17">
        <f t="shared" si="2"/>
        <v>0.5</v>
      </c>
      <c r="AJ6" s="17">
        <f t="shared" si="3"/>
        <v>0.5</v>
      </c>
      <c r="AK6" s="17">
        <f t="shared" si="4"/>
        <v>0.4</v>
      </c>
      <c r="AL6" s="17">
        <f t="shared" si="5"/>
        <v>0.35</v>
      </c>
      <c r="AM6" s="17">
        <f t="shared" si="6"/>
        <v>0.35</v>
      </c>
      <c r="AO6" s="195">
        <f>AG4</f>
        <v>1</v>
      </c>
      <c r="AP6" s="13">
        <f>B24</f>
        <v>1</v>
      </c>
      <c r="AQ6" s="17">
        <f>IF(AND($AR$3="Compression",$AR$4="NON"),$T$9,IF(AND($AR$3="Traction",$AR$4="NON"),$U$9,IF(AND($AR$3="Compression",$AR$4="OUI"),$T$11,IF(AND($AR$3="Traction",$AR$4="OUI"),$U$11))))</f>
        <v>1.18</v>
      </c>
      <c r="AR6" s="17">
        <f>$V$9</f>
        <v>1.1000000000000001</v>
      </c>
    </row>
    <row r="7" spans="2:44">
      <c r="B7" s="183">
        <v>2</v>
      </c>
      <c r="C7" s="183"/>
      <c r="D7" s="185">
        <v>0.45</v>
      </c>
      <c r="E7" s="185"/>
      <c r="F7" s="185">
        <v>0.3</v>
      </c>
      <c r="G7" s="185"/>
      <c r="H7" s="185">
        <v>0.25</v>
      </c>
      <c r="I7" s="185"/>
      <c r="J7" s="185">
        <v>0.3</v>
      </c>
      <c r="K7" s="185"/>
      <c r="L7" s="185">
        <v>0.3</v>
      </c>
      <c r="M7" s="185"/>
      <c r="N7" s="185">
        <v>0.3</v>
      </c>
      <c r="O7" s="185"/>
      <c r="Q7" s="183"/>
      <c r="R7" s="183"/>
      <c r="S7" s="183"/>
      <c r="T7" s="193" t="s">
        <v>227</v>
      </c>
      <c r="U7" s="193" t="s">
        <v>228</v>
      </c>
      <c r="V7" s="193" t="s">
        <v>229</v>
      </c>
      <c r="W7" s="193" t="s">
        <v>230</v>
      </c>
      <c r="AG7" s="13">
        <f t="shared" si="0"/>
        <v>4</v>
      </c>
      <c r="AH7" s="17">
        <f t="shared" si="1"/>
        <v>0.45</v>
      </c>
      <c r="AI7" s="17">
        <f t="shared" si="2"/>
        <v>0.4</v>
      </c>
      <c r="AJ7" s="17">
        <f t="shared" si="3"/>
        <v>0.4</v>
      </c>
      <c r="AK7" s="17">
        <f t="shared" si="4"/>
        <v>0.4</v>
      </c>
      <c r="AL7" s="17">
        <f t="shared" si="5"/>
        <v>0.4</v>
      </c>
      <c r="AM7" s="17">
        <f t="shared" si="6"/>
        <v>0.4</v>
      </c>
      <c r="AO7" s="196"/>
      <c r="AP7" s="13">
        <f t="shared" ref="AP7:AP25" si="7">B25</f>
        <v>2</v>
      </c>
      <c r="AQ7" s="17">
        <f t="shared" ref="AQ7:AQ21" si="8">IF(AND($AR$3="Compression",$AR$4="NON"),$T$9,IF(AND($AR$3="Traction",$AR$4="NON"),$U$9,IF(AND($AR$3="Compression",$AR$4="OUI"),$T$11,IF(AND($AR$3="Traction",$AR$4="OUI"),$U$11))))</f>
        <v>1.18</v>
      </c>
      <c r="AR7" s="17">
        <f t="shared" ref="AR7:AR25" si="9">$V$9</f>
        <v>1.1000000000000001</v>
      </c>
    </row>
    <row r="8" spans="2:44">
      <c r="B8" s="183">
        <v>3</v>
      </c>
      <c r="C8" s="183"/>
      <c r="D8" s="185">
        <v>0.5</v>
      </c>
      <c r="E8" s="185"/>
      <c r="F8" s="185">
        <v>0.5</v>
      </c>
      <c r="G8" s="185"/>
      <c r="H8" s="185">
        <v>0.5</v>
      </c>
      <c r="I8" s="185"/>
      <c r="J8" s="185">
        <v>0.4</v>
      </c>
      <c r="K8" s="185"/>
      <c r="L8" s="185">
        <v>0.35</v>
      </c>
      <c r="M8" s="185"/>
      <c r="N8" s="185">
        <v>0.35</v>
      </c>
      <c r="O8" s="185"/>
      <c r="Q8" s="183"/>
      <c r="R8" s="183"/>
      <c r="S8" s="183"/>
      <c r="T8" s="194"/>
      <c r="U8" s="194"/>
      <c r="V8" s="194"/>
      <c r="W8" s="194"/>
      <c r="AG8" s="13">
        <f t="shared" si="0"/>
        <v>5</v>
      </c>
      <c r="AH8" s="17">
        <f t="shared" si="1"/>
        <v>0.35</v>
      </c>
      <c r="AI8" s="17">
        <f t="shared" si="2"/>
        <v>0.3</v>
      </c>
      <c r="AJ8" s="17">
        <f t="shared" si="3"/>
        <v>0.25</v>
      </c>
      <c r="AK8" s="17">
        <f t="shared" si="4"/>
        <v>0.15</v>
      </c>
      <c r="AL8" s="17">
        <f t="shared" si="5"/>
        <v>0.15</v>
      </c>
      <c r="AM8" s="17">
        <f t="shared" si="6"/>
        <v>0.15</v>
      </c>
      <c r="AO8" s="196"/>
      <c r="AP8" s="13">
        <f t="shared" si="7"/>
        <v>3</v>
      </c>
      <c r="AQ8" s="17">
        <f t="shared" si="8"/>
        <v>1.18</v>
      </c>
      <c r="AR8" s="17">
        <f t="shared" si="9"/>
        <v>1.1000000000000001</v>
      </c>
    </row>
    <row r="9" spans="2:44">
      <c r="B9" s="183">
        <v>4</v>
      </c>
      <c r="C9" s="183"/>
      <c r="D9" s="185">
        <v>0.45</v>
      </c>
      <c r="E9" s="185"/>
      <c r="F9" s="185">
        <v>0.4</v>
      </c>
      <c r="G9" s="185"/>
      <c r="H9" s="185">
        <v>0.4</v>
      </c>
      <c r="I9" s="185"/>
      <c r="J9" s="185">
        <v>0.4</v>
      </c>
      <c r="K9" s="185"/>
      <c r="L9" s="185">
        <v>0.4</v>
      </c>
      <c r="M9" s="185"/>
      <c r="N9" s="185">
        <v>0.4</v>
      </c>
      <c r="O9" s="185"/>
      <c r="Q9" s="200" t="s">
        <v>231</v>
      </c>
      <c r="R9" s="200"/>
      <c r="S9" s="200"/>
      <c r="T9" s="89">
        <v>1.18</v>
      </c>
      <c r="U9" s="89">
        <v>1.45</v>
      </c>
      <c r="V9" s="89">
        <v>1.1000000000000001</v>
      </c>
      <c r="W9" s="89"/>
      <c r="AG9" s="13">
        <f t="shared" si="0"/>
        <v>6</v>
      </c>
      <c r="AH9" s="17">
        <f t="shared" si="1"/>
        <v>0.4</v>
      </c>
      <c r="AI9" s="17">
        <f t="shared" si="2"/>
        <v>0.4</v>
      </c>
      <c r="AJ9" s="17">
        <f t="shared" si="3"/>
        <v>0.4</v>
      </c>
      <c r="AK9" s="17">
        <f t="shared" si="4"/>
        <v>0.35</v>
      </c>
      <c r="AL9" s="17">
        <f t="shared" si="5"/>
        <v>0.2</v>
      </c>
      <c r="AM9" s="17">
        <f t="shared" si="6"/>
        <v>0.2</v>
      </c>
      <c r="AO9" s="196"/>
      <c r="AP9" s="13">
        <f t="shared" si="7"/>
        <v>4</v>
      </c>
      <c r="AQ9" s="17">
        <f t="shared" si="8"/>
        <v>1.18</v>
      </c>
      <c r="AR9" s="17">
        <f t="shared" si="9"/>
        <v>1.1000000000000001</v>
      </c>
    </row>
    <row r="10" spans="2:44">
      <c r="B10" s="186">
        <v>5</v>
      </c>
      <c r="C10" s="186"/>
      <c r="D10" s="185">
        <v>0.35</v>
      </c>
      <c r="E10" s="185"/>
      <c r="F10" s="185">
        <v>0.3</v>
      </c>
      <c r="G10" s="185"/>
      <c r="H10" s="185">
        <v>0.25</v>
      </c>
      <c r="I10" s="185"/>
      <c r="J10" s="185">
        <v>0.15</v>
      </c>
      <c r="K10" s="185"/>
      <c r="L10" s="185">
        <v>0.15</v>
      </c>
      <c r="M10" s="185"/>
      <c r="N10" s="185">
        <v>0.15</v>
      </c>
      <c r="O10" s="185"/>
      <c r="Q10" s="200"/>
      <c r="R10" s="200"/>
      <c r="S10" s="200"/>
      <c r="T10" s="89"/>
      <c r="U10" s="89"/>
      <c r="V10" s="89"/>
      <c r="W10" s="89"/>
      <c r="AG10" s="13">
        <f t="shared" si="0"/>
        <v>7</v>
      </c>
      <c r="AH10" s="17">
        <f t="shared" si="1"/>
        <v>0.35</v>
      </c>
      <c r="AI10" s="17">
        <f t="shared" si="2"/>
        <v>0.25</v>
      </c>
      <c r="AJ10" s="17">
        <f t="shared" si="3"/>
        <v>0.15</v>
      </c>
      <c r="AK10" s="17">
        <f t="shared" si="4"/>
        <v>0.15</v>
      </c>
      <c r="AL10" s="17">
        <f t="shared" si="5"/>
        <v>0.15</v>
      </c>
      <c r="AM10" s="17">
        <f t="shared" si="6"/>
        <v>0.15</v>
      </c>
      <c r="AO10" s="197"/>
      <c r="AP10" s="13">
        <f t="shared" si="7"/>
        <v>5</v>
      </c>
      <c r="AQ10" s="17">
        <f t="shared" si="8"/>
        <v>1.18</v>
      </c>
      <c r="AR10" s="17">
        <f t="shared" si="9"/>
        <v>1.1000000000000001</v>
      </c>
    </row>
    <row r="11" spans="2:44">
      <c r="B11" s="186">
        <v>6</v>
      </c>
      <c r="C11" s="186"/>
      <c r="D11" s="185">
        <v>0.4</v>
      </c>
      <c r="E11" s="185"/>
      <c r="F11" s="185">
        <v>0.4</v>
      </c>
      <c r="G11" s="185"/>
      <c r="H11" s="185">
        <v>0.4</v>
      </c>
      <c r="I11" s="185"/>
      <c r="J11" s="185">
        <v>0.35</v>
      </c>
      <c r="K11" s="185"/>
      <c r="L11" s="185">
        <v>0.2</v>
      </c>
      <c r="M11" s="185"/>
      <c r="N11" s="185">
        <v>0.2</v>
      </c>
      <c r="O11" s="185"/>
      <c r="Q11" s="200" t="s">
        <v>232</v>
      </c>
      <c r="R11" s="200"/>
      <c r="S11" s="200"/>
      <c r="T11" s="89">
        <v>1.45</v>
      </c>
      <c r="U11" s="89">
        <v>1.75</v>
      </c>
      <c r="V11" s="89"/>
      <c r="W11" s="89"/>
      <c r="AG11" s="13">
        <f t="shared" si="0"/>
        <v>8</v>
      </c>
      <c r="AH11" s="16">
        <f t="shared" si="1"/>
        <v>0.45</v>
      </c>
      <c r="AI11" s="16">
        <f t="shared" si="2"/>
        <v>0.3</v>
      </c>
      <c r="AJ11" s="16">
        <f t="shared" si="3"/>
        <v>0.2</v>
      </c>
      <c r="AK11" s="16">
        <f t="shared" si="4"/>
        <v>0.3</v>
      </c>
      <c r="AL11" s="16">
        <f t="shared" si="5"/>
        <v>0.3</v>
      </c>
      <c r="AM11" s="16">
        <f t="shared" si="6"/>
        <v>0.25</v>
      </c>
      <c r="AO11" s="13">
        <f>AG5</f>
        <v>2</v>
      </c>
      <c r="AP11" s="13">
        <f t="shared" si="7"/>
        <v>6</v>
      </c>
      <c r="AQ11" s="17">
        <f t="shared" si="8"/>
        <v>1.18</v>
      </c>
      <c r="AR11" s="17">
        <f t="shared" si="9"/>
        <v>1.1000000000000001</v>
      </c>
    </row>
    <row r="12" spans="2:44">
      <c r="B12" s="186">
        <v>7</v>
      </c>
      <c r="C12" s="186"/>
      <c r="D12" s="185">
        <v>0.35</v>
      </c>
      <c r="E12" s="185"/>
      <c r="F12" s="185">
        <v>0.25</v>
      </c>
      <c r="G12" s="185"/>
      <c r="H12" s="185">
        <v>0.15</v>
      </c>
      <c r="I12" s="185"/>
      <c r="J12" s="185">
        <v>0.15</v>
      </c>
      <c r="K12" s="185"/>
      <c r="L12" s="185">
        <v>0.15</v>
      </c>
      <c r="M12" s="185"/>
      <c r="N12" s="185">
        <v>0.15</v>
      </c>
      <c r="O12" s="185"/>
      <c r="Q12" s="200"/>
      <c r="R12" s="200"/>
      <c r="S12" s="200"/>
      <c r="T12" s="89"/>
      <c r="U12" s="89"/>
      <c r="V12" s="89"/>
      <c r="W12" s="89"/>
      <c r="AO12" s="195">
        <f>AG6</f>
        <v>3</v>
      </c>
      <c r="AP12" s="13">
        <f t="shared" si="7"/>
        <v>7</v>
      </c>
      <c r="AQ12" s="17">
        <f t="shared" si="8"/>
        <v>1.18</v>
      </c>
      <c r="AR12" s="17">
        <f t="shared" si="9"/>
        <v>1.1000000000000001</v>
      </c>
    </row>
    <row r="13" spans="2:44">
      <c r="B13" s="183">
        <v>8</v>
      </c>
      <c r="C13" s="183"/>
      <c r="D13" s="184">
        <v>0.45</v>
      </c>
      <c r="E13" s="184"/>
      <c r="F13" s="184">
        <v>0.3</v>
      </c>
      <c r="G13" s="184"/>
      <c r="H13" s="184">
        <v>0.2</v>
      </c>
      <c r="I13" s="184"/>
      <c r="J13" s="184">
        <v>0.3</v>
      </c>
      <c r="K13" s="184"/>
      <c r="L13" s="184">
        <v>0.3</v>
      </c>
      <c r="M13" s="184"/>
      <c r="N13" s="184">
        <v>0.25</v>
      </c>
      <c r="O13" s="184"/>
      <c r="Q13" s="200" t="s">
        <v>233</v>
      </c>
      <c r="R13" s="200"/>
      <c r="S13" s="200"/>
      <c r="T13" s="89">
        <v>2</v>
      </c>
      <c r="U13" s="89">
        <v>2</v>
      </c>
      <c r="V13" s="89"/>
      <c r="W13" s="89"/>
      <c r="AG13" s="164" t="str">
        <f>B21</f>
        <v>Tableau F.5.2.1 - Choix des valurs de αpieu-sol - Méthode pénétrométrique</v>
      </c>
      <c r="AH13" s="164"/>
      <c r="AI13" s="164"/>
      <c r="AJ13" s="164"/>
      <c r="AK13" s="164"/>
      <c r="AL13" s="164"/>
      <c r="AM13" s="164"/>
      <c r="AO13" s="197"/>
      <c r="AP13" s="13">
        <f t="shared" si="7"/>
        <v>8</v>
      </c>
      <c r="AQ13" s="17">
        <f t="shared" si="8"/>
        <v>1.18</v>
      </c>
      <c r="AR13" s="17">
        <f t="shared" si="9"/>
        <v>1.1000000000000001</v>
      </c>
    </row>
    <row r="14" spans="2:44" ht="15" customHeight="1">
      <c r="B14" s="205" t="s">
        <v>255</v>
      </c>
      <c r="C14" s="205"/>
      <c r="D14" s="205"/>
      <c r="E14" s="205"/>
      <c r="F14" s="205"/>
      <c r="G14" s="205"/>
      <c r="H14" s="205"/>
      <c r="I14" s="205"/>
      <c r="J14" s="205"/>
      <c r="K14" s="205"/>
      <c r="L14" s="205"/>
      <c r="M14" s="205"/>
      <c r="N14" s="205"/>
      <c r="O14" s="205"/>
      <c r="Q14" s="200"/>
      <c r="R14" s="200"/>
      <c r="S14" s="200"/>
      <c r="T14" s="89"/>
      <c r="U14" s="89"/>
      <c r="V14" s="89"/>
      <c r="W14" s="89"/>
      <c r="AG14" s="14" t="s">
        <v>132</v>
      </c>
      <c r="AH14" s="15" t="str">
        <f>'Tableaux généraux'!$Z$25</f>
        <v>Argile % CaCO3 &lt; 30 % Limon</v>
      </c>
      <c r="AI14" s="15" t="str">
        <f>'Tableaux généraux'!$Z$26</f>
        <v>Sols intermédiaires</v>
      </c>
      <c r="AJ14" s="15" t="str">
        <f>'Tableaux généraux'!$Z$27</f>
        <v>Sable Grave</v>
      </c>
      <c r="AK14" s="15" t="str">
        <f>'Tableaux généraux'!$Z$28</f>
        <v>Craie</v>
      </c>
      <c r="AL14" s="15" t="str">
        <f>'Tableaux généraux'!$Z$29</f>
        <v>Marne et Calcaire-Marneux</v>
      </c>
      <c r="AM14" s="15" t="str">
        <f>'Tableaux généraux'!$Z$30</f>
        <v>Roche altérée ou fragmentée</v>
      </c>
      <c r="AO14" s="195">
        <f>AG7</f>
        <v>4</v>
      </c>
      <c r="AP14" s="13">
        <f t="shared" si="7"/>
        <v>9</v>
      </c>
      <c r="AQ14" s="17">
        <f t="shared" si="8"/>
        <v>1.18</v>
      </c>
      <c r="AR14" s="17">
        <f t="shared" si="9"/>
        <v>1.1000000000000001</v>
      </c>
    </row>
    <row r="15" spans="2:44">
      <c r="B15" s="205"/>
      <c r="C15" s="205"/>
      <c r="D15" s="205"/>
      <c r="E15" s="205"/>
      <c r="F15" s="205"/>
      <c r="G15" s="205"/>
      <c r="H15" s="205"/>
      <c r="I15" s="205"/>
      <c r="J15" s="205"/>
      <c r="K15" s="205"/>
      <c r="L15" s="205"/>
      <c r="M15" s="205"/>
      <c r="N15" s="205"/>
      <c r="O15" s="205"/>
      <c r="AG15" s="13">
        <f>B24</f>
        <v>1</v>
      </c>
      <c r="AH15" s="17">
        <f>D24</f>
        <v>0.55000000000000004</v>
      </c>
      <c r="AI15" s="17">
        <f>F24</f>
        <v>0.65</v>
      </c>
      <c r="AJ15" s="17">
        <f>H24</f>
        <v>0.7</v>
      </c>
      <c r="AK15" s="17">
        <f>J24</f>
        <v>0.8</v>
      </c>
      <c r="AL15" s="17">
        <f>L24</f>
        <v>1.4</v>
      </c>
      <c r="AM15" s="17">
        <f>N24</f>
        <v>1.5</v>
      </c>
      <c r="AO15" s="196"/>
      <c r="AP15" s="13">
        <f t="shared" si="7"/>
        <v>10</v>
      </c>
      <c r="AQ15" s="17">
        <f>IF($AR$3="Compression",$T$13,IF($AR$3="Traction",$U$13))</f>
        <v>2</v>
      </c>
      <c r="AR15" s="17">
        <f t="shared" si="9"/>
        <v>1.1000000000000001</v>
      </c>
    </row>
    <row r="16" spans="2:44" ht="15.6">
      <c r="B16" s="205"/>
      <c r="C16" s="205"/>
      <c r="D16" s="205"/>
      <c r="E16" s="205"/>
      <c r="F16" s="205"/>
      <c r="G16" s="205"/>
      <c r="H16" s="205"/>
      <c r="I16" s="205"/>
      <c r="J16" s="205"/>
      <c r="K16" s="205"/>
      <c r="L16" s="205"/>
      <c r="M16" s="205"/>
      <c r="N16" s="205"/>
      <c r="O16" s="205"/>
      <c r="Q16" s="182" t="s">
        <v>256</v>
      </c>
      <c r="R16" s="182"/>
      <c r="S16" s="182"/>
      <c r="T16" s="182"/>
      <c r="U16" s="182"/>
      <c r="V16" s="182"/>
      <c r="W16" s="182"/>
      <c r="X16" s="182"/>
      <c r="Y16" s="182"/>
      <c r="Z16" s="182"/>
      <c r="AA16" s="182"/>
      <c r="AB16" s="182"/>
      <c r="AC16" s="182"/>
      <c r="AD16" s="182"/>
      <c r="AG16" s="13">
        <f t="shared" ref="AG16:AG34" si="10">B25</f>
        <v>2</v>
      </c>
      <c r="AH16" s="17">
        <f t="shared" ref="AH16:AH34" si="11">D25</f>
        <v>0.65</v>
      </c>
      <c r="AI16" s="17">
        <f t="shared" ref="AI16:AI34" si="12">F25</f>
        <v>0.8</v>
      </c>
      <c r="AJ16" s="17">
        <f t="shared" ref="AJ16:AJ34" si="13">H25</f>
        <v>1</v>
      </c>
      <c r="AK16" s="17">
        <f t="shared" ref="AK16:AK34" si="14">J25</f>
        <v>0.8</v>
      </c>
      <c r="AL16" s="17">
        <f t="shared" ref="AL16:AL34" si="15">L25</f>
        <v>1.4</v>
      </c>
      <c r="AM16" s="17">
        <f t="shared" ref="AM16:AM34" si="16">N25</f>
        <v>1.5</v>
      </c>
      <c r="AO16" s="196"/>
      <c r="AP16" s="13">
        <f t="shared" si="7"/>
        <v>11</v>
      </c>
      <c r="AQ16" s="17">
        <f t="shared" si="8"/>
        <v>1.18</v>
      </c>
      <c r="AR16" s="17">
        <f t="shared" si="9"/>
        <v>1.1000000000000001</v>
      </c>
    </row>
    <row r="17" spans="2:44" ht="15" customHeight="1">
      <c r="B17" s="205"/>
      <c r="C17" s="205"/>
      <c r="D17" s="205"/>
      <c r="E17" s="205"/>
      <c r="F17" s="205"/>
      <c r="G17" s="205"/>
      <c r="H17" s="205"/>
      <c r="I17" s="205"/>
      <c r="J17" s="205"/>
      <c r="K17" s="205"/>
      <c r="L17" s="205"/>
      <c r="M17" s="205"/>
      <c r="N17" s="205"/>
      <c r="O17" s="205"/>
      <c r="Q17" s="201" t="s">
        <v>47</v>
      </c>
      <c r="R17" s="202"/>
      <c r="S17" s="156" t="s">
        <v>257</v>
      </c>
      <c r="T17" s="157"/>
      <c r="U17" s="156" t="s">
        <v>140</v>
      </c>
      <c r="V17" s="157"/>
      <c r="W17" s="156" t="s">
        <v>258</v>
      </c>
      <c r="X17" s="157"/>
      <c r="Y17" s="156" t="s">
        <v>142</v>
      </c>
      <c r="Z17" s="157"/>
      <c r="AA17" s="156" t="s">
        <v>80</v>
      </c>
      <c r="AB17" s="157"/>
      <c r="AC17" s="156" t="s">
        <v>259</v>
      </c>
      <c r="AD17" s="157"/>
      <c r="AG17" s="13">
        <f t="shared" si="10"/>
        <v>3</v>
      </c>
      <c r="AH17" s="17">
        <f t="shared" si="11"/>
        <v>0.35</v>
      </c>
      <c r="AI17" s="17">
        <f t="shared" si="12"/>
        <v>0.4</v>
      </c>
      <c r="AJ17" s="17">
        <f t="shared" si="13"/>
        <v>0.4</v>
      </c>
      <c r="AK17" s="17">
        <f t="shared" si="14"/>
        <v>0.25</v>
      </c>
      <c r="AL17" s="17">
        <f t="shared" si="15"/>
        <v>0.85</v>
      </c>
      <c r="AM17" s="17" t="str">
        <f t="shared" si="16"/>
        <v>-</v>
      </c>
      <c r="AO17" s="197"/>
      <c r="AP17" s="13">
        <f t="shared" si="7"/>
        <v>12</v>
      </c>
      <c r="AQ17" s="17">
        <f t="shared" si="8"/>
        <v>1.18</v>
      </c>
      <c r="AR17" s="17">
        <f t="shared" si="9"/>
        <v>1.1000000000000001</v>
      </c>
    </row>
    <row r="18" spans="2:44">
      <c r="B18" s="205"/>
      <c r="C18" s="205"/>
      <c r="D18" s="205"/>
      <c r="E18" s="205"/>
      <c r="F18" s="205"/>
      <c r="G18" s="205"/>
      <c r="H18" s="205"/>
      <c r="I18" s="205"/>
      <c r="J18" s="205"/>
      <c r="K18" s="205"/>
      <c r="L18" s="205"/>
      <c r="M18" s="205"/>
      <c r="N18" s="205"/>
      <c r="O18" s="205"/>
      <c r="Q18" s="203"/>
      <c r="R18" s="204"/>
      <c r="S18" s="158"/>
      <c r="T18" s="159"/>
      <c r="U18" s="158"/>
      <c r="V18" s="159"/>
      <c r="W18" s="158"/>
      <c r="X18" s="159"/>
      <c r="Y18" s="158"/>
      <c r="Z18" s="159"/>
      <c r="AA18" s="158"/>
      <c r="AB18" s="159"/>
      <c r="AC18" s="158"/>
      <c r="AD18" s="159"/>
      <c r="AG18" s="13">
        <f t="shared" si="10"/>
        <v>4</v>
      </c>
      <c r="AH18" s="17">
        <f t="shared" si="11"/>
        <v>0.65</v>
      </c>
      <c r="AI18" s="17">
        <f t="shared" si="12"/>
        <v>0.8</v>
      </c>
      <c r="AJ18" s="17">
        <f t="shared" si="13"/>
        <v>1</v>
      </c>
      <c r="AK18" s="17">
        <f t="shared" si="14"/>
        <v>0.75</v>
      </c>
      <c r="AL18" s="17">
        <f t="shared" si="15"/>
        <v>0.13</v>
      </c>
      <c r="AM18" s="17" t="str">
        <f t="shared" si="16"/>
        <v>-</v>
      </c>
      <c r="AO18" s="13">
        <f>AG8</f>
        <v>5</v>
      </c>
      <c r="AP18" s="13">
        <f t="shared" si="7"/>
        <v>13</v>
      </c>
      <c r="AQ18" s="17">
        <f t="shared" si="8"/>
        <v>1.18</v>
      </c>
      <c r="AR18" s="17">
        <f t="shared" si="9"/>
        <v>1.1000000000000001</v>
      </c>
    </row>
    <row r="19" spans="2:44">
      <c r="B19" s="205"/>
      <c r="C19" s="205"/>
      <c r="D19" s="205"/>
      <c r="E19" s="205"/>
      <c r="F19" s="205"/>
      <c r="G19" s="205"/>
      <c r="H19" s="205"/>
      <c r="I19" s="205"/>
      <c r="J19" s="205"/>
      <c r="K19" s="205"/>
      <c r="L19" s="205"/>
      <c r="M19" s="205"/>
      <c r="N19" s="205"/>
      <c r="O19" s="205"/>
      <c r="Q19" s="190" t="s">
        <v>237</v>
      </c>
      <c r="R19" s="191"/>
      <c r="S19" s="70" t="s">
        <v>238</v>
      </c>
      <c r="T19" s="71"/>
      <c r="U19" s="70" t="s">
        <v>239</v>
      </c>
      <c r="V19" s="71"/>
      <c r="W19" s="70" t="s">
        <v>240</v>
      </c>
      <c r="X19" s="71"/>
      <c r="Y19" s="70" t="s">
        <v>239</v>
      </c>
      <c r="Z19" s="71"/>
      <c r="AA19" s="70" t="s">
        <v>239</v>
      </c>
      <c r="AB19" s="71"/>
      <c r="AC19" s="70" t="s">
        <v>239</v>
      </c>
      <c r="AD19" s="71"/>
      <c r="AG19" s="13">
        <f t="shared" si="10"/>
        <v>5</v>
      </c>
      <c r="AH19" s="17">
        <f t="shared" si="11"/>
        <v>0.7</v>
      </c>
      <c r="AI19" s="17">
        <f t="shared" si="12"/>
        <v>0.85</v>
      </c>
      <c r="AJ19" s="17" t="str">
        <f t="shared" si="13"/>
        <v>-</v>
      </c>
      <c r="AK19" s="17" t="str">
        <f t="shared" si="14"/>
        <v>-</v>
      </c>
      <c r="AL19" s="17" t="str">
        <f t="shared" si="15"/>
        <v>-</v>
      </c>
      <c r="AM19" s="17" t="str">
        <f t="shared" si="16"/>
        <v>-</v>
      </c>
      <c r="AO19" s="195">
        <f>AG9</f>
        <v>6</v>
      </c>
      <c r="AP19" s="13">
        <f t="shared" si="7"/>
        <v>14</v>
      </c>
      <c r="AQ19" s="17">
        <f t="shared" si="8"/>
        <v>1.18</v>
      </c>
      <c r="AR19" s="17">
        <f t="shared" si="9"/>
        <v>1.1000000000000001</v>
      </c>
    </row>
    <row r="20" spans="2:44">
      <c r="B20" s="5"/>
      <c r="C20" s="5"/>
      <c r="D20" s="5"/>
      <c r="E20" s="5"/>
      <c r="F20" s="5"/>
      <c r="G20" s="5"/>
      <c r="H20" s="5"/>
      <c r="I20" s="5"/>
      <c r="J20" s="5"/>
      <c r="K20" s="5"/>
      <c r="L20" s="5"/>
      <c r="M20" s="5"/>
      <c r="N20" s="5"/>
      <c r="O20" s="5"/>
      <c r="Q20" s="190" t="s">
        <v>51</v>
      </c>
      <c r="R20" s="191"/>
      <c r="S20" s="70">
        <v>1.8E-3</v>
      </c>
      <c r="T20" s="71"/>
      <c r="U20" s="70">
        <v>1.5E-3</v>
      </c>
      <c r="V20" s="71"/>
      <c r="W20" s="70">
        <v>1.1999999999999999E-3</v>
      </c>
      <c r="X20" s="71"/>
      <c r="Y20" s="70">
        <v>1.5E-3</v>
      </c>
      <c r="Z20" s="71"/>
      <c r="AA20" s="70">
        <v>1.5E-3</v>
      </c>
      <c r="AB20" s="71"/>
      <c r="AC20" s="70">
        <v>1.5E-3</v>
      </c>
      <c r="AD20" s="71"/>
      <c r="AG20" s="13">
        <f t="shared" si="10"/>
        <v>6</v>
      </c>
      <c r="AH20" s="17">
        <f t="shared" si="11"/>
        <v>0.75</v>
      </c>
      <c r="AI20" s="17">
        <f t="shared" si="12"/>
        <v>0.9</v>
      </c>
      <c r="AJ20" s="17">
        <f t="shared" si="13"/>
        <v>1.25</v>
      </c>
      <c r="AK20" s="17">
        <f t="shared" si="14"/>
        <v>0.95</v>
      </c>
      <c r="AL20" s="17">
        <f t="shared" si="15"/>
        <v>1.5</v>
      </c>
      <c r="AM20" s="17">
        <f t="shared" si="16"/>
        <v>1.5</v>
      </c>
      <c r="AO20" s="197"/>
      <c r="AP20" s="13">
        <f t="shared" si="7"/>
        <v>15</v>
      </c>
      <c r="AQ20" s="17">
        <f>IF($AR$3="Compression",$T$13,IF($AR$3="Traction",$U$13))</f>
        <v>2</v>
      </c>
      <c r="AR20" s="17">
        <f t="shared" si="9"/>
        <v>1.1000000000000001</v>
      </c>
    </row>
    <row r="21" spans="2:44" ht="15" customHeight="1">
      <c r="B21" s="166" t="s">
        <v>260</v>
      </c>
      <c r="C21" s="166"/>
      <c r="D21" s="166"/>
      <c r="E21" s="166"/>
      <c r="F21" s="166"/>
      <c r="G21" s="166"/>
      <c r="H21" s="166"/>
      <c r="I21" s="166"/>
      <c r="J21" s="166"/>
      <c r="K21" s="166"/>
      <c r="L21" s="166"/>
      <c r="M21" s="166"/>
      <c r="N21" s="166"/>
      <c r="O21" s="166"/>
      <c r="P21" s="11"/>
      <c r="Q21" s="190" t="s">
        <v>52</v>
      </c>
      <c r="R21" s="191"/>
      <c r="S21" s="171">
        <v>0.1</v>
      </c>
      <c r="T21" s="192"/>
      <c r="U21" s="171">
        <v>0.1</v>
      </c>
      <c r="V21" s="192"/>
      <c r="W21" s="171">
        <v>0.1</v>
      </c>
      <c r="X21" s="192"/>
      <c r="Y21" s="171">
        <v>0.1</v>
      </c>
      <c r="Z21" s="192"/>
      <c r="AA21" s="171">
        <v>0.1</v>
      </c>
      <c r="AB21" s="192"/>
      <c r="AC21" s="171">
        <v>0.1</v>
      </c>
      <c r="AD21" s="192"/>
      <c r="AG21" s="13">
        <f t="shared" si="10"/>
        <v>7</v>
      </c>
      <c r="AH21" s="17">
        <f t="shared" si="11"/>
        <v>0.95</v>
      </c>
      <c r="AI21" s="17">
        <f t="shared" si="12"/>
        <v>1.1499999999999999</v>
      </c>
      <c r="AJ21" s="17">
        <f t="shared" si="13"/>
        <v>1.45</v>
      </c>
      <c r="AK21" s="17">
        <f t="shared" si="14"/>
        <v>0.75</v>
      </c>
      <c r="AL21" s="17">
        <f t="shared" si="15"/>
        <v>1.6</v>
      </c>
      <c r="AM21" s="17" t="str">
        <f t="shared" si="16"/>
        <v>-</v>
      </c>
      <c r="AO21" s="13">
        <f>AG10</f>
        <v>7</v>
      </c>
      <c r="AP21" s="13">
        <f t="shared" si="7"/>
        <v>16</v>
      </c>
      <c r="AQ21" s="17">
        <f t="shared" si="8"/>
        <v>1.18</v>
      </c>
      <c r="AR21" s="17">
        <f t="shared" si="9"/>
        <v>1.1000000000000001</v>
      </c>
    </row>
    <row r="22" spans="2:44" ht="15" customHeight="1">
      <c r="B22" s="77" t="s">
        <v>134</v>
      </c>
      <c r="C22" s="77" t="s">
        <v>9</v>
      </c>
      <c r="D22" s="143" t="s">
        <v>139</v>
      </c>
      <c r="E22" s="143"/>
      <c r="F22" s="143" t="s">
        <v>140</v>
      </c>
      <c r="G22" s="143"/>
      <c r="H22" s="143" t="s">
        <v>141</v>
      </c>
      <c r="I22" s="143"/>
      <c r="J22" s="143" t="s">
        <v>142</v>
      </c>
      <c r="K22" s="143"/>
      <c r="L22" s="156" t="s">
        <v>80</v>
      </c>
      <c r="M22" s="157"/>
      <c r="N22" s="156" t="s">
        <v>259</v>
      </c>
      <c r="O22" s="157"/>
      <c r="P22" s="12"/>
      <c r="Q22" s="190" t="s">
        <v>53</v>
      </c>
      <c r="R22" s="191"/>
      <c r="S22" s="171">
        <v>0.4</v>
      </c>
      <c r="T22" s="192"/>
      <c r="U22" s="171">
        <v>0.25</v>
      </c>
      <c r="V22" s="192"/>
      <c r="W22" s="171">
        <v>0.15</v>
      </c>
      <c r="X22" s="192"/>
      <c r="Y22" s="171">
        <v>0.25</v>
      </c>
      <c r="Z22" s="192"/>
      <c r="AA22" s="171">
        <v>0.25</v>
      </c>
      <c r="AB22" s="192"/>
      <c r="AC22" s="171">
        <v>0.25</v>
      </c>
      <c r="AD22" s="192"/>
      <c r="AG22" s="13">
        <f t="shared" si="10"/>
        <v>8</v>
      </c>
      <c r="AH22" s="17">
        <f t="shared" si="11"/>
        <v>0.3</v>
      </c>
      <c r="AI22" s="17">
        <f t="shared" si="12"/>
        <v>0.35</v>
      </c>
      <c r="AJ22" s="17">
        <f t="shared" si="13"/>
        <v>0.4</v>
      </c>
      <c r="AK22" s="17">
        <f t="shared" si="14"/>
        <v>0.45</v>
      </c>
      <c r="AL22" s="17">
        <f t="shared" si="15"/>
        <v>0.65</v>
      </c>
      <c r="AM22" s="17" t="str">
        <f t="shared" si="16"/>
        <v>-</v>
      </c>
      <c r="AO22" s="195" t="str">
        <f>'Tableaux généraux'!B21</f>
        <v>1 bis</v>
      </c>
      <c r="AP22" s="13">
        <f t="shared" si="7"/>
        <v>17</v>
      </c>
      <c r="AQ22" s="17">
        <f>IF($AR$3="Compression",$T$13,IF($AR$3="Traction",$U$13))</f>
        <v>2</v>
      </c>
      <c r="AR22" s="17">
        <f t="shared" si="9"/>
        <v>1.1000000000000001</v>
      </c>
    </row>
    <row r="23" spans="2:44">
      <c r="B23" s="77"/>
      <c r="C23" s="77"/>
      <c r="D23" s="143"/>
      <c r="E23" s="143"/>
      <c r="F23" s="143"/>
      <c r="G23" s="143"/>
      <c r="H23" s="143"/>
      <c r="I23" s="143"/>
      <c r="J23" s="143"/>
      <c r="K23" s="143"/>
      <c r="L23" s="158"/>
      <c r="M23" s="159"/>
      <c r="N23" s="158"/>
      <c r="O23" s="159"/>
      <c r="AG23" s="13">
        <f t="shared" si="10"/>
        <v>9</v>
      </c>
      <c r="AH23" s="17">
        <f t="shared" si="11"/>
        <v>0.55000000000000004</v>
      </c>
      <c r="AI23" s="17">
        <f t="shared" si="12"/>
        <v>0.65</v>
      </c>
      <c r="AJ23" s="17">
        <f t="shared" si="13"/>
        <v>1</v>
      </c>
      <c r="AK23" s="17">
        <f t="shared" si="14"/>
        <v>0.45</v>
      </c>
      <c r="AL23" s="17">
        <f t="shared" si="15"/>
        <v>0.85</v>
      </c>
      <c r="AM23" s="17" t="str">
        <f t="shared" si="16"/>
        <v>-</v>
      </c>
      <c r="AO23" s="197"/>
      <c r="AP23" s="13">
        <f t="shared" si="7"/>
        <v>18</v>
      </c>
      <c r="AQ23" s="17">
        <f>IF($AR$3="Compression",$T$13,IF($AR$3="Traction",$U$13))</f>
        <v>2</v>
      </c>
      <c r="AR23" s="17">
        <f t="shared" si="9"/>
        <v>1.1000000000000001</v>
      </c>
    </row>
    <row r="24" spans="2:44">
      <c r="B24" s="7">
        <v>1</v>
      </c>
      <c r="C24" s="8" t="s">
        <v>147</v>
      </c>
      <c r="D24" s="89">
        <v>0.55000000000000004</v>
      </c>
      <c r="E24" s="89"/>
      <c r="F24" s="89">
        <v>0.65</v>
      </c>
      <c r="G24" s="89"/>
      <c r="H24" s="89">
        <v>0.7</v>
      </c>
      <c r="I24" s="89"/>
      <c r="J24" s="89">
        <v>0.8</v>
      </c>
      <c r="K24" s="89"/>
      <c r="L24" s="89">
        <v>1.4</v>
      </c>
      <c r="M24" s="89"/>
      <c r="N24" s="89">
        <v>1.5</v>
      </c>
      <c r="O24" s="89"/>
      <c r="R24" s="3" t="s">
        <v>238</v>
      </c>
      <c r="S24" s="3" t="s">
        <v>239</v>
      </c>
      <c r="T24" s="3" t="s">
        <v>240</v>
      </c>
      <c r="AG24" s="13">
        <f t="shared" si="10"/>
        <v>10</v>
      </c>
      <c r="AH24" s="17">
        <f t="shared" si="11"/>
        <v>1</v>
      </c>
      <c r="AI24" s="17">
        <f t="shared" si="12"/>
        <v>1.2</v>
      </c>
      <c r="AJ24" s="17">
        <f t="shared" si="13"/>
        <v>1.45</v>
      </c>
      <c r="AK24" s="17">
        <f t="shared" si="14"/>
        <v>0.85</v>
      </c>
      <c r="AL24" s="17">
        <f t="shared" si="15"/>
        <v>1.5</v>
      </c>
      <c r="AM24" s="17" t="str">
        <f t="shared" si="16"/>
        <v>-</v>
      </c>
      <c r="AO24" s="195">
        <f>AG11</f>
        <v>8</v>
      </c>
      <c r="AP24" s="13">
        <f t="shared" si="7"/>
        <v>19</v>
      </c>
      <c r="AQ24" s="17">
        <f>IF($AR$3="Compression",$T$13,IF($AR$3="Traction",$U$13))</f>
        <v>2</v>
      </c>
      <c r="AR24" s="17">
        <f t="shared" si="9"/>
        <v>1.1000000000000001</v>
      </c>
    </row>
    <row r="25" spans="2:44" ht="15.6">
      <c r="B25" s="7">
        <v>2</v>
      </c>
      <c r="C25" s="8" t="s">
        <v>150</v>
      </c>
      <c r="D25" s="89">
        <v>0.65</v>
      </c>
      <c r="E25" s="89"/>
      <c r="F25" s="89">
        <v>0.8</v>
      </c>
      <c r="G25" s="89"/>
      <c r="H25" s="89">
        <v>1</v>
      </c>
      <c r="I25" s="89"/>
      <c r="J25" s="89">
        <v>0.8</v>
      </c>
      <c r="K25" s="89"/>
      <c r="L25" s="89">
        <v>1.4</v>
      </c>
      <c r="M25" s="89"/>
      <c r="N25" s="89">
        <v>1.5</v>
      </c>
      <c r="O25" s="89"/>
      <c r="Q25" s="3" t="s">
        <v>245</v>
      </c>
      <c r="R25" s="3" t="s">
        <v>246</v>
      </c>
      <c r="S25" s="3" t="s">
        <v>246</v>
      </c>
      <c r="T25" s="3" t="s">
        <v>246</v>
      </c>
      <c r="AG25" s="13">
        <f t="shared" si="10"/>
        <v>11</v>
      </c>
      <c r="AH25" s="17">
        <f t="shared" si="11"/>
        <v>0.6</v>
      </c>
      <c r="AI25" s="17">
        <f t="shared" si="12"/>
        <v>0.7</v>
      </c>
      <c r="AJ25" s="17">
        <f t="shared" si="13"/>
        <v>1</v>
      </c>
      <c r="AK25" s="17">
        <f t="shared" si="14"/>
        <v>0.95</v>
      </c>
      <c r="AL25" s="17">
        <f t="shared" si="15"/>
        <v>0.95</v>
      </c>
      <c r="AM25" s="17" t="str">
        <f t="shared" si="16"/>
        <v>-</v>
      </c>
      <c r="AO25" s="197"/>
      <c r="AP25" s="13">
        <f t="shared" si="7"/>
        <v>20</v>
      </c>
      <c r="AQ25" s="17">
        <f>IF($AR$3="Compression",$T$13,IF($AR$3="Traction",$U$13))</f>
        <v>2</v>
      </c>
      <c r="AR25" s="17">
        <f t="shared" si="9"/>
        <v>1.1000000000000001</v>
      </c>
    </row>
    <row r="26" spans="2:44">
      <c r="B26" s="7">
        <v>3</v>
      </c>
      <c r="C26" s="8" t="s">
        <v>146</v>
      </c>
      <c r="D26" s="89">
        <v>0.35</v>
      </c>
      <c r="E26" s="89"/>
      <c r="F26" s="89">
        <v>0.4</v>
      </c>
      <c r="G26" s="89"/>
      <c r="H26" s="89">
        <v>0.4</v>
      </c>
      <c r="I26" s="89"/>
      <c r="J26" s="89">
        <v>0.25</v>
      </c>
      <c r="K26" s="89"/>
      <c r="L26" s="89">
        <v>0.85</v>
      </c>
      <c r="M26" s="89"/>
      <c r="N26" s="89" t="s">
        <v>112</v>
      </c>
      <c r="O26" s="89"/>
      <c r="Q26" s="3">
        <v>0</v>
      </c>
      <c r="R26" s="4">
        <f t="shared" ref="R26:R66" si="17">1000*(S$20*Q26+S$21)*(1-EXP(-S$22*Q26))</f>
        <v>0</v>
      </c>
      <c r="S26" s="4">
        <f t="shared" ref="S26:S66" si="18">1000*(U$20*Q26+U$21)*(1-EXP(-U$22*Q26))</f>
        <v>0</v>
      </c>
      <c r="T26" s="4">
        <f t="shared" ref="T26:T66" si="19">1000*(W$20*Q26+W$21)*(1-EXP(-W$22*Q26))</f>
        <v>0</v>
      </c>
      <c r="AG26" s="13">
        <f t="shared" si="10"/>
        <v>12</v>
      </c>
      <c r="AH26" s="17">
        <f t="shared" si="11"/>
        <v>0.4</v>
      </c>
      <c r="AI26" s="17">
        <f t="shared" si="12"/>
        <v>0.5</v>
      </c>
      <c r="AJ26" s="17">
        <f t="shared" si="13"/>
        <v>0.85</v>
      </c>
      <c r="AK26" s="17">
        <f t="shared" si="14"/>
        <v>0.2</v>
      </c>
      <c r="AL26" s="17">
        <f t="shared" si="15"/>
        <v>0.85</v>
      </c>
      <c r="AM26" s="17" t="str">
        <f t="shared" si="16"/>
        <v>-</v>
      </c>
    </row>
    <row r="27" spans="2:44">
      <c r="B27" s="7">
        <v>4</v>
      </c>
      <c r="C27" s="8" t="s">
        <v>149</v>
      </c>
      <c r="D27" s="89">
        <v>0.65</v>
      </c>
      <c r="E27" s="89"/>
      <c r="F27" s="89">
        <v>0.8</v>
      </c>
      <c r="G27" s="89"/>
      <c r="H27" s="89">
        <v>1</v>
      </c>
      <c r="I27" s="89"/>
      <c r="J27" s="89">
        <v>0.75</v>
      </c>
      <c r="K27" s="89"/>
      <c r="L27" s="89">
        <v>0.13</v>
      </c>
      <c r="M27" s="89"/>
      <c r="N27" s="89" t="s">
        <v>112</v>
      </c>
      <c r="O27" s="89"/>
      <c r="Q27" s="3">
        <v>0.5</v>
      </c>
      <c r="R27" s="4">
        <f t="shared" si="17"/>
        <v>18.2900670144316</v>
      </c>
      <c r="S27" s="4">
        <f t="shared" si="18"/>
        <v>11.838437064601999</v>
      </c>
      <c r="T27" s="4">
        <f t="shared" si="19"/>
        <v>7.2690052753475802</v>
      </c>
      <c r="AG27" s="13">
        <f t="shared" si="10"/>
        <v>13</v>
      </c>
      <c r="AH27" s="17">
        <f t="shared" si="11"/>
        <v>0.6</v>
      </c>
      <c r="AI27" s="17">
        <f t="shared" si="12"/>
        <v>0.7</v>
      </c>
      <c r="AJ27" s="17">
        <f t="shared" si="13"/>
        <v>0.5</v>
      </c>
      <c r="AK27" s="17">
        <f t="shared" si="14"/>
        <v>0.25</v>
      </c>
      <c r="AL27" s="17">
        <f t="shared" si="15"/>
        <v>0.95</v>
      </c>
      <c r="AM27" s="17">
        <f t="shared" si="16"/>
        <v>0.95</v>
      </c>
    </row>
    <row r="28" spans="2:44">
      <c r="B28" s="7">
        <v>5</v>
      </c>
      <c r="C28" s="8" t="s">
        <v>158</v>
      </c>
      <c r="D28" s="89">
        <v>0.7</v>
      </c>
      <c r="E28" s="89"/>
      <c r="F28" s="89">
        <v>0.85</v>
      </c>
      <c r="G28" s="89"/>
      <c r="H28" s="89" t="s">
        <v>112</v>
      </c>
      <c r="I28" s="89"/>
      <c r="J28" s="89" t="s">
        <v>112</v>
      </c>
      <c r="K28" s="89"/>
      <c r="L28" s="89" t="s">
        <v>112</v>
      </c>
      <c r="M28" s="89"/>
      <c r="N28" s="89" t="s">
        <v>112</v>
      </c>
      <c r="O28" s="89"/>
      <c r="Q28" s="3">
        <v>1</v>
      </c>
      <c r="R28" s="4">
        <f t="shared" si="17"/>
        <v>33.561419313571903</v>
      </c>
      <c r="S28" s="4">
        <f t="shared" si="18"/>
        <v>22.451720518252401</v>
      </c>
      <c r="T28" s="4">
        <f t="shared" si="19"/>
        <v>14.0963527857842</v>
      </c>
      <c r="AG28" s="13">
        <f t="shared" si="10"/>
        <v>14</v>
      </c>
      <c r="AH28" s="17">
        <f t="shared" si="11"/>
        <v>0.55000000000000004</v>
      </c>
      <c r="AI28" s="17">
        <f t="shared" si="12"/>
        <v>0.65</v>
      </c>
      <c r="AJ28" s="17">
        <f t="shared" si="13"/>
        <v>0.7</v>
      </c>
      <c r="AK28" s="17">
        <f t="shared" si="14"/>
        <v>0.2</v>
      </c>
      <c r="AL28" s="17">
        <f t="shared" si="15"/>
        <v>0.95</v>
      </c>
      <c r="AM28" s="17">
        <f t="shared" si="16"/>
        <v>0.85</v>
      </c>
    </row>
    <row r="29" spans="2:44" ht="15" customHeight="1">
      <c r="B29" s="7">
        <v>6</v>
      </c>
      <c r="C29" s="8" t="s">
        <v>154</v>
      </c>
      <c r="D29" s="89">
        <v>0.75</v>
      </c>
      <c r="E29" s="89"/>
      <c r="F29" s="89">
        <v>0.9</v>
      </c>
      <c r="G29" s="89"/>
      <c r="H29" s="89">
        <v>1.25</v>
      </c>
      <c r="I29" s="89"/>
      <c r="J29" s="89">
        <v>0.95</v>
      </c>
      <c r="K29" s="89"/>
      <c r="L29" s="89">
        <v>1.5</v>
      </c>
      <c r="M29" s="89"/>
      <c r="N29" s="89">
        <v>1.5</v>
      </c>
      <c r="O29" s="89"/>
      <c r="Q29" s="3">
        <v>1.5</v>
      </c>
      <c r="R29" s="4">
        <f t="shared" si="17"/>
        <v>46.337044973143499</v>
      </c>
      <c r="S29" s="4">
        <f t="shared" si="18"/>
        <v>31.974671243623099</v>
      </c>
      <c r="T29" s="4">
        <f t="shared" si="19"/>
        <v>20.511048930295399</v>
      </c>
      <c r="AG29" s="13">
        <f t="shared" si="10"/>
        <v>15</v>
      </c>
      <c r="AH29" s="17">
        <f t="shared" si="11"/>
        <v>1.35</v>
      </c>
      <c r="AI29" s="17">
        <f t="shared" si="12"/>
        <v>1.6</v>
      </c>
      <c r="AJ29" s="17">
        <f t="shared" si="13"/>
        <v>2</v>
      </c>
      <c r="AK29" s="17">
        <f t="shared" si="14"/>
        <v>1.1000000000000001</v>
      </c>
      <c r="AL29" s="17">
        <f t="shared" si="15"/>
        <v>2.25</v>
      </c>
      <c r="AM29" s="17">
        <f t="shared" si="16"/>
        <v>2.25</v>
      </c>
    </row>
    <row r="30" spans="2:44">
      <c r="B30" s="7">
        <v>7</v>
      </c>
      <c r="C30" s="8" t="s">
        <v>156</v>
      </c>
      <c r="D30" s="89">
        <v>0.95</v>
      </c>
      <c r="E30" s="89"/>
      <c r="F30" s="89">
        <v>1.1499999999999999</v>
      </c>
      <c r="G30" s="89"/>
      <c r="H30" s="89">
        <v>1.45</v>
      </c>
      <c r="I30" s="89"/>
      <c r="J30" s="89">
        <v>0.75</v>
      </c>
      <c r="K30" s="89"/>
      <c r="L30" s="89">
        <v>1.6</v>
      </c>
      <c r="M30" s="89"/>
      <c r="N30" s="89" t="s">
        <v>112</v>
      </c>
      <c r="O30" s="89"/>
      <c r="Q30" s="3">
        <v>2</v>
      </c>
      <c r="R30" s="4">
        <f t="shared" si="17"/>
        <v>57.049519317455903</v>
      </c>
      <c r="S30" s="4">
        <f t="shared" si="18"/>
        <v>40.527342049598801</v>
      </c>
      <c r="T30" s="4">
        <f t="shared" si="19"/>
        <v>26.5402142021921</v>
      </c>
      <c r="AG30" s="13">
        <f t="shared" si="10"/>
        <v>16</v>
      </c>
      <c r="AH30" s="17">
        <f t="shared" si="11"/>
        <v>0.45</v>
      </c>
      <c r="AI30" s="17">
        <f t="shared" si="12"/>
        <v>0.55000000000000004</v>
      </c>
      <c r="AJ30" s="17">
        <f t="shared" si="13"/>
        <v>0.55000000000000004</v>
      </c>
      <c r="AK30" s="17">
        <f t="shared" si="14"/>
        <v>0.2</v>
      </c>
      <c r="AL30" s="17">
        <f t="shared" si="15"/>
        <v>1.25</v>
      </c>
      <c r="AM30" s="17">
        <f t="shared" si="16"/>
        <v>1.1499999999999999</v>
      </c>
    </row>
    <row r="31" spans="2:44">
      <c r="B31" s="7">
        <v>8</v>
      </c>
      <c r="C31" s="8" t="s">
        <v>160</v>
      </c>
      <c r="D31" s="89">
        <v>0.3</v>
      </c>
      <c r="E31" s="89"/>
      <c r="F31" s="89">
        <v>0.35</v>
      </c>
      <c r="G31" s="89"/>
      <c r="H31" s="89">
        <v>0.4</v>
      </c>
      <c r="I31" s="89"/>
      <c r="J31" s="89">
        <v>0.45</v>
      </c>
      <c r="K31" s="89"/>
      <c r="L31" s="89">
        <v>0.65</v>
      </c>
      <c r="M31" s="89"/>
      <c r="N31" s="89" t="s">
        <v>112</v>
      </c>
      <c r="O31" s="89"/>
      <c r="Q31" s="3">
        <v>2.5</v>
      </c>
      <c r="R31" s="4">
        <f t="shared" si="17"/>
        <v>66.056598397584295</v>
      </c>
      <c r="S31" s="4">
        <f t="shared" si="18"/>
        <v>48.216626791154802</v>
      </c>
      <c r="T31" s="4">
        <f t="shared" si="19"/>
        <v>32.209204284529903</v>
      </c>
      <c r="AG31" s="13">
        <f t="shared" si="10"/>
        <v>17</v>
      </c>
      <c r="AH31" s="17" t="str">
        <f t="shared" si="11"/>
        <v>-</v>
      </c>
      <c r="AI31" s="17" t="str">
        <f t="shared" si="12"/>
        <v>-</v>
      </c>
      <c r="AJ31" s="17" t="str">
        <f t="shared" si="13"/>
        <v>-</v>
      </c>
      <c r="AK31" s="17" t="str">
        <f t="shared" si="14"/>
        <v>-</v>
      </c>
      <c r="AL31" s="17" t="str">
        <f t="shared" si="15"/>
        <v>-</v>
      </c>
      <c r="AM31" s="17" t="str">
        <f t="shared" si="16"/>
        <v>-</v>
      </c>
    </row>
    <row r="32" spans="2:44">
      <c r="B32" s="7">
        <v>9</v>
      </c>
      <c r="C32" s="8" t="s">
        <v>167</v>
      </c>
      <c r="D32" s="89">
        <v>0.55000000000000004</v>
      </c>
      <c r="E32" s="89"/>
      <c r="F32" s="89">
        <v>0.65</v>
      </c>
      <c r="G32" s="89"/>
      <c r="H32" s="89">
        <v>1</v>
      </c>
      <c r="I32" s="89"/>
      <c r="J32" s="89">
        <v>0.45</v>
      </c>
      <c r="K32" s="89"/>
      <c r="L32" s="89">
        <v>0.85</v>
      </c>
      <c r="M32" s="89"/>
      <c r="N32" s="89" t="s">
        <v>112</v>
      </c>
      <c r="O32" s="89"/>
      <c r="Q32" s="3">
        <v>3</v>
      </c>
      <c r="R32" s="4">
        <f t="shared" si="17"/>
        <v>73.654130064453895</v>
      </c>
      <c r="S32" s="4">
        <f t="shared" si="18"/>
        <v>55.137695238564</v>
      </c>
      <c r="T32" s="4">
        <f t="shared" si="19"/>
        <v>37.5417234919843</v>
      </c>
      <c r="AG32" s="13">
        <f t="shared" si="10"/>
        <v>18</v>
      </c>
      <c r="AH32" s="17" t="str">
        <f t="shared" si="11"/>
        <v>-</v>
      </c>
      <c r="AI32" s="17" t="str">
        <f t="shared" si="12"/>
        <v>-</v>
      </c>
      <c r="AJ32" s="17" t="str">
        <f t="shared" si="13"/>
        <v>-</v>
      </c>
      <c r="AK32" s="17" t="str">
        <f t="shared" si="14"/>
        <v>-</v>
      </c>
      <c r="AL32" s="17" t="str">
        <f t="shared" si="15"/>
        <v>-</v>
      </c>
      <c r="AM32" s="17" t="str">
        <f t="shared" si="16"/>
        <v>-</v>
      </c>
    </row>
    <row r="33" spans="2:39">
      <c r="B33" s="7">
        <v>10</v>
      </c>
      <c r="C33" s="8" t="s">
        <v>170</v>
      </c>
      <c r="D33" s="89">
        <v>1</v>
      </c>
      <c r="E33" s="89"/>
      <c r="F33" s="89">
        <v>1.2</v>
      </c>
      <c r="G33" s="89"/>
      <c r="H33" s="89">
        <v>1.45</v>
      </c>
      <c r="I33" s="89"/>
      <c r="J33" s="89">
        <v>0.85</v>
      </c>
      <c r="K33" s="89"/>
      <c r="L33" s="89">
        <v>1.5</v>
      </c>
      <c r="M33" s="89"/>
      <c r="N33" s="89" t="s">
        <v>112</v>
      </c>
      <c r="O33" s="89"/>
      <c r="Q33" s="3">
        <v>3.5</v>
      </c>
      <c r="R33" s="4">
        <f t="shared" si="17"/>
        <v>80.086742733007199</v>
      </c>
      <c r="S33" s="4">
        <f t="shared" si="18"/>
        <v>61.375272428837</v>
      </c>
      <c r="T33" s="4">
        <f t="shared" si="19"/>
        <v>42.5599310329779</v>
      </c>
      <c r="AG33" s="13">
        <f t="shared" si="10"/>
        <v>19</v>
      </c>
      <c r="AH33" s="17">
        <f t="shared" si="11"/>
        <v>1.35</v>
      </c>
      <c r="AI33" s="17">
        <f t="shared" si="12"/>
        <v>1.6</v>
      </c>
      <c r="AJ33" s="17">
        <f t="shared" si="13"/>
        <v>2</v>
      </c>
      <c r="AK33" s="17">
        <f t="shared" si="14"/>
        <v>1.1000000000000001</v>
      </c>
      <c r="AL33" s="17">
        <f t="shared" si="15"/>
        <v>2.25</v>
      </c>
      <c r="AM33" s="17">
        <f t="shared" si="16"/>
        <v>2.25</v>
      </c>
    </row>
    <row r="34" spans="2:39">
      <c r="B34" s="7">
        <v>11</v>
      </c>
      <c r="C34" s="8" t="s">
        <v>173</v>
      </c>
      <c r="D34" s="89">
        <v>0.6</v>
      </c>
      <c r="E34" s="89"/>
      <c r="F34" s="89">
        <v>0.7</v>
      </c>
      <c r="G34" s="89"/>
      <c r="H34" s="89">
        <v>1</v>
      </c>
      <c r="I34" s="89"/>
      <c r="J34" s="89">
        <v>0.95</v>
      </c>
      <c r="K34" s="89"/>
      <c r="L34" s="89">
        <v>0.95</v>
      </c>
      <c r="M34" s="89"/>
      <c r="N34" s="89" t="s">
        <v>112</v>
      </c>
      <c r="O34" s="89"/>
      <c r="Q34" s="3">
        <v>4</v>
      </c>
      <c r="R34" s="4">
        <f t="shared" si="17"/>
        <v>85.5566932709729</v>
      </c>
      <c r="S34" s="4">
        <f t="shared" si="18"/>
        <v>67.004779235827101</v>
      </c>
      <c r="T34" s="4">
        <f t="shared" si="19"/>
        <v>47.284540537345997</v>
      </c>
      <c r="AG34" s="13">
        <f t="shared" si="10"/>
        <v>20</v>
      </c>
      <c r="AH34" s="17">
        <f t="shared" si="11"/>
        <v>1.7</v>
      </c>
      <c r="AI34" s="17">
        <f t="shared" si="12"/>
        <v>2.0499999999999998</v>
      </c>
      <c r="AJ34" s="17">
        <f t="shared" si="13"/>
        <v>2.65</v>
      </c>
      <c r="AK34" s="17">
        <f t="shared" si="14"/>
        <v>1.4</v>
      </c>
      <c r="AL34" s="17">
        <f t="shared" si="15"/>
        <v>2.9</v>
      </c>
      <c r="AM34" s="17">
        <f t="shared" si="16"/>
        <v>2.9</v>
      </c>
    </row>
    <row r="35" spans="2:39">
      <c r="B35" s="7">
        <v>12</v>
      </c>
      <c r="C35" s="8" t="s">
        <v>176</v>
      </c>
      <c r="D35" s="89">
        <v>0.4</v>
      </c>
      <c r="E35" s="89"/>
      <c r="F35" s="89">
        <v>0.5</v>
      </c>
      <c r="G35" s="89"/>
      <c r="H35" s="89">
        <v>0.85</v>
      </c>
      <c r="I35" s="89"/>
      <c r="J35" s="89">
        <v>0.2</v>
      </c>
      <c r="K35" s="89"/>
      <c r="L35" s="89">
        <v>0.85</v>
      </c>
      <c r="M35" s="89"/>
      <c r="N35" s="89" t="s">
        <v>112</v>
      </c>
      <c r="O35" s="89"/>
      <c r="Q35" s="3">
        <v>4.5</v>
      </c>
      <c r="R35" s="4">
        <f t="shared" si="17"/>
        <v>90.231190183246497</v>
      </c>
      <c r="S35" s="4">
        <f t="shared" si="18"/>
        <v>72.093349109496202</v>
      </c>
      <c r="T35" s="4">
        <f t="shared" si="19"/>
        <v>51.734913267964302</v>
      </c>
    </row>
    <row r="36" spans="2:39">
      <c r="B36" s="7">
        <v>13</v>
      </c>
      <c r="C36" s="8" t="s">
        <v>179</v>
      </c>
      <c r="D36" s="89">
        <v>0.6</v>
      </c>
      <c r="E36" s="89"/>
      <c r="F36" s="89">
        <v>0.7</v>
      </c>
      <c r="G36" s="89"/>
      <c r="H36" s="89">
        <v>0.5</v>
      </c>
      <c r="I36" s="89"/>
      <c r="J36" s="89">
        <v>0.25</v>
      </c>
      <c r="K36" s="89"/>
      <c r="L36" s="89">
        <v>0.95</v>
      </c>
      <c r="M36" s="89"/>
      <c r="N36" s="89">
        <v>0.95</v>
      </c>
      <c r="O36" s="89"/>
      <c r="Q36" s="3">
        <v>5</v>
      </c>
      <c r="R36" s="4">
        <f t="shared" si="17"/>
        <v>94.2484541272092</v>
      </c>
      <c r="S36" s="4">
        <f t="shared" si="18"/>
        <v>76.700734337529596</v>
      </c>
      <c r="T36" s="4">
        <f t="shared" si="19"/>
        <v>55.929145409452502</v>
      </c>
      <c r="AG36" s="164" t="str">
        <f>Q16</f>
        <v>Tableau G.5.2.2 - Valeurs numériques des paramètres a, b et c des courbes fsol - Méthode pénétrométrique</v>
      </c>
      <c r="AH36" s="164"/>
      <c r="AI36" s="164"/>
      <c r="AJ36" s="164"/>
      <c r="AK36" s="164"/>
      <c r="AL36" s="164"/>
      <c r="AM36" s="164"/>
    </row>
    <row r="37" spans="2:39" ht="16.8">
      <c r="B37" s="7">
        <v>14</v>
      </c>
      <c r="C37" s="8" t="s">
        <v>182</v>
      </c>
      <c r="D37" s="89">
        <v>0.55000000000000004</v>
      </c>
      <c r="E37" s="89"/>
      <c r="F37" s="89">
        <v>0.65</v>
      </c>
      <c r="G37" s="89"/>
      <c r="H37" s="89">
        <v>0.7</v>
      </c>
      <c r="I37" s="89"/>
      <c r="J37" s="89">
        <v>0.2</v>
      </c>
      <c r="K37" s="89"/>
      <c r="L37" s="89">
        <v>0.95</v>
      </c>
      <c r="M37" s="89"/>
      <c r="N37" s="89">
        <v>0.85</v>
      </c>
      <c r="O37" s="89"/>
      <c r="Q37" s="3">
        <v>5.5</v>
      </c>
      <c r="R37" s="4">
        <f t="shared" si="17"/>
        <v>97.722732895979505</v>
      </c>
      <c r="S37" s="4">
        <f t="shared" si="18"/>
        <v>80.880113754136204</v>
      </c>
      <c r="T37" s="4">
        <f t="shared" si="19"/>
        <v>59.884149803236397</v>
      </c>
      <c r="AG37" s="15" t="s">
        <v>47</v>
      </c>
      <c r="AH37" s="15" t="str">
        <f>'Tableaux généraux'!$Z$25</f>
        <v>Argile % CaCO3 &lt; 30 % Limon</v>
      </c>
      <c r="AI37" s="15" t="str">
        <f>'Tableaux généraux'!$Z$26</f>
        <v>Sols intermédiaires</v>
      </c>
      <c r="AJ37" s="15" t="str">
        <f>'Tableaux généraux'!$Z$27</f>
        <v>Sable Grave</v>
      </c>
      <c r="AK37" s="15" t="str">
        <f>'Tableaux généraux'!$Z$28</f>
        <v>Craie</v>
      </c>
      <c r="AL37" s="15" t="str">
        <f>'Tableaux généraux'!$Z$29</f>
        <v>Marne et Calcaire-Marneux</v>
      </c>
      <c r="AM37" s="15" t="str">
        <f>'Tableaux généraux'!$Z$30</f>
        <v>Roche altérée ou fragmentée</v>
      </c>
    </row>
    <row r="38" spans="2:39">
      <c r="B38" s="7">
        <v>15</v>
      </c>
      <c r="C38" s="8" t="s">
        <v>187</v>
      </c>
      <c r="D38" s="89">
        <v>1.35</v>
      </c>
      <c r="E38" s="89"/>
      <c r="F38" s="89">
        <v>1.6</v>
      </c>
      <c r="G38" s="89"/>
      <c r="H38" s="89">
        <v>2</v>
      </c>
      <c r="I38" s="89"/>
      <c r="J38" s="89">
        <v>1.1000000000000001</v>
      </c>
      <c r="K38" s="89"/>
      <c r="L38" s="89">
        <v>2.25</v>
      </c>
      <c r="M38" s="89"/>
      <c r="N38" s="89">
        <v>2.25</v>
      </c>
      <c r="O38" s="89"/>
      <c r="Q38" s="3">
        <v>6</v>
      </c>
      <c r="R38" s="4">
        <f t="shared" si="17"/>
        <v>100.748450775533</v>
      </c>
      <c r="S38" s="4">
        <f t="shared" si="18"/>
        <v>84.678812543821195</v>
      </c>
      <c r="T38" s="4">
        <f t="shared" si="19"/>
        <v>63.615732475807803</v>
      </c>
      <c r="AG38" s="13" t="s">
        <v>248</v>
      </c>
      <c r="AH38" s="16" t="str">
        <f>S19</f>
        <v>Q1</v>
      </c>
      <c r="AI38" s="16" t="str">
        <f>U19</f>
        <v>Q2</v>
      </c>
      <c r="AJ38" s="16" t="str">
        <f>W19</f>
        <v>Q3</v>
      </c>
      <c r="AK38" s="16" t="str">
        <f>Y19</f>
        <v>Q2</v>
      </c>
      <c r="AL38" s="16" t="str">
        <f>AA19</f>
        <v>Q2</v>
      </c>
      <c r="AM38" s="16" t="str">
        <f>AC19</f>
        <v>Q2</v>
      </c>
    </row>
    <row r="39" spans="2:39" ht="15" customHeight="1">
      <c r="B39" s="7">
        <v>16</v>
      </c>
      <c r="C39" s="8" t="s">
        <v>190</v>
      </c>
      <c r="D39" s="89">
        <v>0.45</v>
      </c>
      <c r="E39" s="89"/>
      <c r="F39" s="89">
        <v>0.55000000000000004</v>
      </c>
      <c r="G39" s="89"/>
      <c r="H39" s="89">
        <v>0.55000000000000004</v>
      </c>
      <c r="I39" s="89"/>
      <c r="J39" s="89">
        <v>0.2</v>
      </c>
      <c r="K39" s="89"/>
      <c r="L39" s="89">
        <v>1.25</v>
      </c>
      <c r="M39" s="89"/>
      <c r="N39" s="89">
        <v>1.1499999999999999</v>
      </c>
      <c r="O39" s="89"/>
      <c r="Q39" s="3">
        <v>6.5</v>
      </c>
      <c r="R39" s="4">
        <f t="shared" si="17"/>
        <v>103.403641313459</v>
      </c>
      <c r="S39" s="4">
        <f t="shared" si="18"/>
        <v>88.138943646339698</v>
      </c>
      <c r="T39" s="4">
        <f t="shared" si="19"/>
        <v>67.138664285891707</v>
      </c>
      <c r="AG39" s="13" t="s">
        <v>51</v>
      </c>
      <c r="AH39" s="18">
        <f t="shared" ref="AH39:AH41" si="20">S20</f>
        <v>1.8E-3</v>
      </c>
      <c r="AI39" s="18">
        <f t="shared" ref="AI39:AI41" si="21">U20</f>
        <v>1.5E-3</v>
      </c>
      <c r="AJ39" s="18">
        <f t="shared" ref="AJ39:AJ41" si="22">W20</f>
        <v>1.1999999999999999E-3</v>
      </c>
      <c r="AK39" s="18">
        <f t="shared" ref="AK39:AK41" si="23">Y20</f>
        <v>1.5E-3</v>
      </c>
      <c r="AL39" s="18">
        <f t="shared" ref="AL39:AL41" si="24">AA20</f>
        <v>1.5E-3</v>
      </c>
      <c r="AM39" s="18">
        <f t="shared" ref="AM39:AM41" si="25">AC20</f>
        <v>1.5E-3</v>
      </c>
    </row>
    <row r="40" spans="2:39">
      <c r="B40" s="7">
        <v>17</v>
      </c>
      <c r="C40" s="8" t="s">
        <v>185</v>
      </c>
      <c r="D40" s="89" t="s">
        <v>112</v>
      </c>
      <c r="E40" s="89"/>
      <c r="F40" s="89" t="s">
        <v>112</v>
      </c>
      <c r="G40" s="89"/>
      <c r="H40" s="89" t="s">
        <v>112</v>
      </c>
      <c r="I40" s="89"/>
      <c r="J40" s="89" t="s">
        <v>112</v>
      </c>
      <c r="K40" s="89"/>
      <c r="L40" s="89" t="s">
        <v>112</v>
      </c>
      <c r="M40" s="89"/>
      <c r="N40" s="89" t="s">
        <v>112</v>
      </c>
      <c r="O40" s="89"/>
      <c r="Q40" s="3">
        <v>7</v>
      </c>
      <c r="R40" s="4">
        <f t="shared" si="17"/>
        <v>105.7527869484</v>
      </c>
      <c r="S40" s="4">
        <f t="shared" si="18"/>
        <v>91.297979248725795</v>
      </c>
      <c r="T40" s="4">
        <f t="shared" si="19"/>
        <v>70.466747996350804</v>
      </c>
      <c r="AG40" s="13" t="s">
        <v>52</v>
      </c>
      <c r="AH40" s="17">
        <f t="shared" si="20"/>
        <v>0.1</v>
      </c>
      <c r="AI40" s="17">
        <f t="shared" si="21"/>
        <v>0.1</v>
      </c>
      <c r="AJ40" s="17">
        <f t="shared" si="22"/>
        <v>0.1</v>
      </c>
      <c r="AK40" s="17">
        <f t="shared" si="23"/>
        <v>0.1</v>
      </c>
      <c r="AL40" s="17">
        <f t="shared" si="24"/>
        <v>0.1</v>
      </c>
      <c r="AM40" s="17">
        <f t="shared" si="25"/>
        <v>0.1</v>
      </c>
    </row>
    <row r="41" spans="2:39">
      <c r="B41" s="7">
        <v>18</v>
      </c>
      <c r="C41" s="8" t="s">
        <v>189</v>
      </c>
      <c r="D41" s="89" t="s">
        <v>112</v>
      </c>
      <c r="E41" s="89"/>
      <c r="F41" s="89" t="s">
        <v>112</v>
      </c>
      <c r="G41" s="89"/>
      <c r="H41" s="89" t="s">
        <v>112</v>
      </c>
      <c r="I41" s="89"/>
      <c r="J41" s="89" t="s">
        <v>112</v>
      </c>
      <c r="K41" s="89"/>
      <c r="L41" s="89" t="s">
        <v>112</v>
      </c>
      <c r="M41" s="89"/>
      <c r="N41" s="89" t="s">
        <v>112</v>
      </c>
      <c r="O41" s="89"/>
      <c r="Q41" s="3">
        <v>7.5</v>
      </c>
      <c r="R41" s="4">
        <f t="shared" si="17"/>
        <v>107.849167740247</v>
      </c>
      <c r="S41" s="4">
        <f t="shared" si="18"/>
        <v>94.189259938501706</v>
      </c>
      <c r="T41" s="4">
        <f t="shared" si="19"/>
        <v>73.612881057939902</v>
      </c>
      <c r="AG41" s="13" t="s">
        <v>53</v>
      </c>
      <c r="AH41" s="17">
        <f t="shared" si="20"/>
        <v>0.4</v>
      </c>
      <c r="AI41" s="17">
        <f t="shared" si="21"/>
        <v>0.25</v>
      </c>
      <c r="AJ41" s="17">
        <f t="shared" si="22"/>
        <v>0.15</v>
      </c>
      <c r="AK41" s="17">
        <f t="shared" si="23"/>
        <v>0.25</v>
      </c>
      <c r="AL41" s="17">
        <f t="shared" si="24"/>
        <v>0.25</v>
      </c>
      <c r="AM41" s="17">
        <f t="shared" si="25"/>
        <v>0.25</v>
      </c>
    </row>
    <row r="42" spans="2:39">
      <c r="B42" s="7">
        <v>19</v>
      </c>
      <c r="C42" s="8" t="s">
        <v>192</v>
      </c>
      <c r="D42" s="89">
        <v>1.35</v>
      </c>
      <c r="E42" s="89"/>
      <c r="F42" s="89">
        <v>1.6</v>
      </c>
      <c r="G42" s="89"/>
      <c r="H42" s="89">
        <v>2</v>
      </c>
      <c r="I42" s="89"/>
      <c r="J42" s="89">
        <v>1.1000000000000001</v>
      </c>
      <c r="K42" s="89"/>
      <c r="L42" s="89">
        <v>2.25</v>
      </c>
      <c r="M42" s="89"/>
      <c r="N42" s="89">
        <v>2.25</v>
      </c>
      <c r="O42" s="89"/>
      <c r="Q42" s="3">
        <v>8</v>
      </c>
      <c r="R42" s="4">
        <f t="shared" si="17"/>
        <v>109.736803864875</v>
      </c>
      <c r="S42" s="4">
        <f t="shared" si="18"/>
        <v>96.8424482774994</v>
      </c>
      <c r="T42" s="4">
        <f t="shared" si="19"/>
        <v>76.589114374422607</v>
      </c>
    </row>
    <row r="43" spans="2:39">
      <c r="B43" s="7">
        <v>20</v>
      </c>
      <c r="C43" s="8" t="s">
        <v>194</v>
      </c>
      <c r="D43" s="89">
        <v>1.7</v>
      </c>
      <c r="E43" s="89"/>
      <c r="F43" s="89">
        <v>2.0499999999999998</v>
      </c>
      <c r="G43" s="89"/>
      <c r="H43" s="89">
        <v>2.65</v>
      </c>
      <c r="I43" s="89"/>
      <c r="J43" s="89">
        <v>1.4</v>
      </c>
      <c r="K43" s="89"/>
      <c r="L43" s="89">
        <v>2.9</v>
      </c>
      <c r="M43" s="89"/>
      <c r="N43" s="89">
        <v>2.9</v>
      </c>
      <c r="O43" s="89"/>
      <c r="Q43" s="3">
        <v>8.5</v>
      </c>
      <c r="R43" s="4">
        <f t="shared" si="17"/>
        <v>111.452061973574</v>
      </c>
      <c r="S43" s="4">
        <f t="shared" si="18"/>
        <v>99.283932827927401</v>
      </c>
      <c r="T43" s="4">
        <f t="shared" si="19"/>
        <v>79.406707302000896</v>
      </c>
    </row>
    <row r="44" spans="2:39" ht="15" customHeight="1">
      <c r="B44" s="205" t="s">
        <v>249</v>
      </c>
      <c r="C44" s="205"/>
      <c r="D44" s="205"/>
      <c r="E44" s="205"/>
      <c r="F44" s="205"/>
      <c r="G44" s="205"/>
      <c r="H44" s="205"/>
      <c r="I44" s="205"/>
      <c r="J44" s="205"/>
      <c r="K44" s="205"/>
      <c r="L44" s="205"/>
      <c r="M44" s="205"/>
      <c r="N44" s="205"/>
      <c r="O44" s="205"/>
      <c r="Q44" s="3">
        <v>9</v>
      </c>
      <c r="R44" s="4">
        <f t="shared" si="17"/>
        <v>113.024983451625</v>
      </c>
      <c r="S44" s="4">
        <f t="shared" si="18"/>
        <v>101.537188012228</v>
      </c>
      <c r="T44" s="4">
        <f t="shared" si="19"/>
        <v>82.076179120435199</v>
      </c>
    </row>
    <row r="45" spans="2:39">
      <c r="B45" s="205"/>
      <c r="C45" s="205"/>
      <c r="D45" s="205"/>
      <c r="E45" s="205"/>
      <c r="F45" s="205"/>
      <c r="G45" s="205"/>
      <c r="H45" s="205"/>
      <c r="I45" s="205"/>
      <c r="J45" s="205"/>
      <c r="K45" s="205"/>
      <c r="L45" s="205"/>
      <c r="M45" s="205"/>
      <c r="N45" s="205"/>
      <c r="O45" s="205"/>
      <c r="Q45" s="3">
        <v>9.5</v>
      </c>
      <c r="R45" s="4">
        <f t="shared" si="17"/>
        <v>114.48038261564299</v>
      </c>
      <c r="S45" s="4">
        <f t="shared" si="18"/>
        <v>103.62309460768201</v>
      </c>
      <c r="T45" s="4">
        <f t="shared" si="19"/>
        <v>84.607357198590705</v>
      </c>
    </row>
    <row r="46" spans="2:39">
      <c r="B46" s="205"/>
      <c r="C46" s="205"/>
      <c r="D46" s="205"/>
      <c r="E46" s="205"/>
      <c r="F46" s="205"/>
      <c r="G46" s="205"/>
      <c r="H46" s="205"/>
      <c r="I46" s="205"/>
      <c r="J46" s="205"/>
      <c r="K46" s="205"/>
      <c r="L46" s="205"/>
      <c r="M46" s="205"/>
      <c r="N46" s="205"/>
      <c r="O46" s="205"/>
      <c r="Q46" s="3">
        <v>10</v>
      </c>
      <c r="R46" s="4">
        <f t="shared" si="17"/>
        <v>115.838754611129</v>
      </c>
      <c r="S46" s="4">
        <f t="shared" si="18"/>
        <v>105.560225158252</v>
      </c>
      <c r="T46" s="4">
        <f t="shared" si="19"/>
        <v>87.009422063375894</v>
      </c>
    </row>
    <row r="47" spans="2:39">
      <c r="B47" s="205"/>
      <c r="C47" s="205"/>
      <c r="D47" s="205"/>
      <c r="E47" s="205"/>
      <c r="F47" s="205"/>
      <c r="G47" s="205"/>
      <c r="H47" s="205"/>
      <c r="I47" s="205"/>
      <c r="J47" s="205"/>
      <c r="K47" s="205"/>
      <c r="L47" s="205"/>
      <c r="M47" s="205"/>
      <c r="N47" s="205"/>
      <c r="O47" s="205"/>
      <c r="Q47" s="3">
        <v>10.5</v>
      </c>
      <c r="R47" s="4">
        <f t="shared" si="17"/>
        <v>117.11702591604499</v>
      </c>
      <c r="S47" s="4">
        <f t="shared" si="18"/>
        <v>107.36509812328499</v>
      </c>
      <c r="T47" s="4">
        <f t="shared" si="19"/>
        <v>89.290949568102207</v>
      </c>
    </row>
    <row r="48" spans="2:39">
      <c r="B48" s="205"/>
      <c r="C48" s="205"/>
      <c r="D48" s="205"/>
      <c r="E48" s="205"/>
      <c r="F48" s="205"/>
      <c r="G48" s="205"/>
      <c r="H48" s="205"/>
      <c r="I48" s="205"/>
      <c r="J48" s="205"/>
      <c r="K48" s="205"/>
      <c r="L48" s="205"/>
      <c r="M48" s="205"/>
      <c r="N48" s="205"/>
      <c r="O48" s="205"/>
      <c r="Q48" s="3">
        <v>11</v>
      </c>
      <c r="R48" s="4">
        <f t="shared" si="17"/>
        <v>118.329174679612</v>
      </c>
      <c r="S48" s="4">
        <f t="shared" si="18"/>
        <v>109.05240416941901</v>
      </c>
      <c r="T48" s="4">
        <f t="shared" si="19"/>
        <v>91.459950344130604</v>
      </c>
    </row>
    <row r="49" spans="2:20">
      <c r="B49" s="205"/>
      <c r="C49" s="205"/>
      <c r="D49" s="205"/>
      <c r="E49" s="205"/>
      <c r="F49" s="205"/>
      <c r="G49" s="205"/>
      <c r="H49" s="205"/>
      <c r="I49" s="205"/>
      <c r="J49" s="205"/>
      <c r="K49" s="205"/>
      <c r="L49" s="205"/>
      <c r="M49" s="205"/>
      <c r="N49" s="205"/>
      <c r="O49" s="205"/>
      <c r="Q49" s="3">
        <v>11.5</v>
      </c>
      <c r="R49" s="4">
        <f t="shared" si="17"/>
        <v>119.486743425623</v>
      </c>
      <c r="S49" s="4">
        <f t="shared" si="18"/>
        <v>110.635207643182</v>
      </c>
      <c r="T49" s="4">
        <f t="shared" si="19"/>
        <v>93.523906708244198</v>
      </c>
    </row>
    <row r="50" spans="2:20">
      <c r="B50" s="205"/>
      <c r="C50" s="205"/>
      <c r="D50" s="205"/>
      <c r="E50" s="205"/>
      <c r="F50" s="205"/>
      <c r="G50" s="205"/>
      <c r="H50" s="205"/>
      <c r="I50" s="205"/>
      <c r="J50" s="205"/>
      <c r="K50" s="205"/>
      <c r="L50" s="205"/>
      <c r="M50" s="205"/>
      <c r="N50" s="205"/>
      <c r="O50" s="205"/>
      <c r="Q50" s="3">
        <v>12</v>
      </c>
      <c r="R50" s="4">
        <f t="shared" si="17"/>
        <v>120.599262758839</v>
      </c>
      <c r="S50" s="4">
        <f t="shared" si="18"/>
        <v>112.125125932592</v>
      </c>
      <c r="T50" s="4">
        <f t="shared" si="19"/>
        <v>95.489807187450495</v>
      </c>
    </row>
    <row r="51" spans="2:20">
      <c r="B51" s="205"/>
      <c r="C51" s="205"/>
      <c r="D51" s="205"/>
      <c r="E51" s="205"/>
      <c r="F51" s="205"/>
      <c r="G51" s="205"/>
      <c r="H51" s="205"/>
      <c r="I51" s="205"/>
      <c r="J51" s="205"/>
      <c r="K51" s="205"/>
      <c r="L51" s="205"/>
      <c r="M51" s="205"/>
      <c r="N51" s="205"/>
      <c r="O51" s="205"/>
      <c r="Q51" s="3">
        <v>12.5</v>
      </c>
      <c r="R51" s="4">
        <f t="shared" si="17"/>
        <v>121.674601492612</v>
      </c>
      <c r="S51" s="4">
        <f t="shared" si="18"/>
        <v>113.53248913221999</v>
      </c>
      <c r="T51" s="4">
        <f t="shared" si="19"/>
        <v>97.364178812833202</v>
      </c>
    </row>
    <row r="52" spans="2:20">
      <c r="B52" s="205"/>
      <c r="C52" s="205"/>
      <c r="D52" s="205"/>
      <c r="E52" s="205"/>
      <c r="F52" s="205"/>
      <c r="G52" s="205"/>
      <c r="H52" s="205"/>
      <c r="I52" s="205"/>
      <c r="J52" s="205"/>
      <c r="K52" s="205"/>
      <c r="L52" s="205"/>
      <c r="M52" s="205"/>
      <c r="N52" s="205"/>
      <c r="O52" s="205"/>
      <c r="Q52" s="3">
        <v>13</v>
      </c>
      <c r="R52" s="4">
        <f t="shared" si="17"/>
        <v>122.719255950478</v>
      </c>
      <c r="S52" s="4">
        <f t="shared" si="18"/>
        <v>114.866482164109</v>
      </c>
      <c r="T52" s="4">
        <f t="shared" si="19"/>
        <v>99.153117324598995</v>
      </c>
    </row>
    <row r="53" spans="2:20">
      <c r="B53" s="205"/>
      <c r="C53" s="205"/>
      <c r="D53" s="205"/>
      <c r="E53" s="205"/>
      <c r="F53" s="205"/>
      <c r="G53" s="205"/>
      <c r="H53" s="205"/>
      <c r="I53" s="205"/>
      <c r="J53" s="205"/>
      <c r="K53" s="205"/>
      <c r="L53" s="205"/>
      <c r="M53" s="205"/>
      <c r="N53" s="205"/>
      <c r="O53" s="205"/>
      <c r="Q53" s="3">
        <v>13.5</v>
      </c>
      <c r="R53" s="4">
        <f t="shared" si="17"/>
        <v>123.738588988833</v>
      </c>
      <c r="S53" s="4">
        <f t="shared" si="18"/>
        <v>116.135271273022</v>
      </c>
      <c r="T53" s="4">
        <f t="shared" si="19"/>
        <v>100.862315421574</v>
      </c>
    </row>
    <row r="54" spans="2:20">
      <c r="B54" s="205"/>
      <c r="C54" s="205"/>
      <c r="D54" s="205"/>
      <c r="E54" s="205"/>
      <c r="F54" s="205"/>
      <c r="G54" s="205"/>
      <c r="H54" s="205"/>
      <c r="I54" s="205"/>
      <c r="J54" s="205"/>
      <c r="K54" s="205"/>
      <c r="L54" s="205"/>
      <c r="M54" s="205"/>
      <c r="N54" s="205"/>
      <c r="O54" s="205"/>
      <c r="Q54" s="3">
        <v>14</v>
      </c>
      <c r="R54" s="4">
        <f t="shared" si="17"/>
        <v>124.73702746269601</v>
      </c>
      <c r="S54" s="4">
        <f t="shared" si="18"/>
        <v>117.346116605899</v>
      </c>
      <c r="T54" s="4">
        <f t="shared" si="19"/>
        <v>102.497089180052</v>
      </c>
    </row>
    <row r="55" spans="2:20">
      <c r="B55" s="205"/>
      <c r="C55" s="205"/>
      <c r="D55" s="205"/>
      <c r="E55" s="205"/>
      <c r="F55" s="205"/>
      <c r="G55" s="205"/>
      <c r="H55" s="205"/>
      <c r="I55" s="205"/>
      <c r="J55" s="205"/>
      <c r="K55" s="205"/>
      <c r="L55" s="205"/>
      <c r="M55" s="205"/>
      <c r="N55" s="205"/>
      <c r="O55" s="205"/>
      <c r="Q55" s="3">
        <v>14.5</v>
      </c>
      <c r="R55" s="4">
        <f t="shared" si="17"/>
        <v>125.71822534660799</v>
      </c>
      <c r="S55" s="4">
        <f t="shared" si="18"/>
        <v>118.50547239929899</v>
      </c>
      <c r="T55" s="4">
        <f t="shared" si="19"/>
        <v>104.06240275905201</v>
      </c>
    </row>
    <row r="56" spans="2:20">
      <c r="B56" s="10"/>
      <c r="C56" s="10"/>
      <c r="D56" s="10"/>
      <c r="E56" s="10"/>
      <c r="F56" s="10"/>
      <c r="G56" s="10"/>
      <c r="H56" s="10"/>
      <c r="I56" s="10"/>
      <c r="J56" s="10"/>
      <c r="K56" s="10"/>
      <c r="L56" s="10"/>
      <c r="M56" s="10"/>
      <c r="N56" s="10"/>
      <c r="O56" s="10"/>
      <c r="Q56" s="3">
        <v>15</v>
      </c>
      <c r="R56" s="4">
        <f t="shared" si="17"/>
        <v>126.68519847356301</v>
      </c>
      <c r="S56" s="4">
        <f t="shared" si="18"/>
        <v>119.61907613263899</v>
      </c>
      <c r="T56" s="4">
        <f t="shared" si="19"/>
        <v>105.56289150169999</v>
      </c>
    </row>
    <row r="57" spans="2:20" ht="15" customHeight="1">
      <c r="Q57" s="3">
        <v>15.5</v>
      </c>
      <c r="R57" s="4">
        <f t="shared" si="17"/>
        <v>127.640435821618</v>
      </c>
      <c r="S57" s="4">
        <f t="shared" si="18"/>
        <v>120.692027857067</v>
      </c>
      <c r="T57" s="4">
        <f t="shared" si="19"/>
        <v>107.00288353550999</v>
      </c>
    </row>
    <row r="58" spans="2:20" ht="15" customHeight="1">
      <c r="Q58" s="3">
        <v>16</v>
      </c>
      <c r="R58" s="4">
        <f t="shared" si="17"/>
        <v>128.58599142321501</v>
      </c>
      <c r="S58" s="4">
        <f t="shared" si="18"/>
        <v>121.728860777797</v>
      </c>
      <c r="T58" s="4">
        <f t="shared" si="19"/>
        <v>108.386419967902</v>
      </c>
    </row>
    <row r="59" spans="2:20" ht="15" customHeight="1">
      <c r="Q59" s="3">
        <v>16.5</v>
      </c>
      <c r="R59" s="4">
        <f t="shared" si="17"/>
        <v>129.52356026552999</v>
      </c>
      <c r="S59" s="4">
        <f t="shared" si="18"/>
        <v>122.733604050126</v>
      </c>
      <c r="T59" s="4">
        <f t="shared" si="19"/>
        <v>109.71727376717401</v>
      </c>
    </row>
    <row r="60" spans="2:20">
      <c r="Q60" s="3">
        <v>17</v>
      </c>
      <c r="R60" s="4">
        <f t="shared" si="17"/>
        <v>130.454540965691</v>
      </c>
      <c r="S60" s="4">
        <f t="shared" si="18"/>
        <v>123.709838644421</v>
      </c>
      <c r="T60" s="4">
        <f t="shared" si="19"/>
        <v>110.998967413461</v>
      </c>
    </row>
    <row r="61" spans="2:20">
      <c r="Q61" s="3">
        <v>17.5</v>
      </c>
      <c r="R61" s="4">
        <f t="shared" si="17"/>
        <v>131.38008752152999</v>
      </c>
      <c r="S61" s="4">
        <f t="shared" si="18"/>
        <v>124.660747041893</v>
      </c>
      <c r="T61" s="4">
        <f t="shared" si="19"/>
        <v>112.23478939885599</v>
      </c>
    </row>
    <row r="62" spans="2:20">
      <c r="Q62" s="3">
        <v>18</v>
      </c>
      <c r="R62" s="4">
        <f t="shared" si="17"/>
        <v>132.301152038971</v>
      </c>
      <c r="S62" s="4">
        <f t="shared" si="18"/>
        <v>125.589157439643</v>
      </c>
      <c r="T62" s="4">
        <f t="shared" si="19"/>
        <v>113.427809650846</v>
      </c>
    </row>
    <row r="63" spans="2:20">
      <c r="Q63" s="3">
        <v>18.5</v>
      </c>
      <c r="R63" s="4">
        <f t="shared" si="17"/>
        <v>133.21852000694099</v>
      </c>
      <c r="S63" s="4">
        <f t="shared" si="18"/>
        <v>126.497583069174</v>
      </c>
      <c r="T63" s="4">
        <f t="shared" si="19"/>
        <v>114.580893948522</v>
      </c>
    </row>
    <row r="64" spans="2:20">
      <c r="Q64" s="3">
        <v>19</v>
      </c>
      <c r="R64" s="4">
        <f t="shared" si="17"/>
        <v>134.132839417632</v>
      </c>
      <c r="S64" s="4">
        <f t="shared" si="18"/>
        <v>127.388257166399</v>
      </c>
      <c r="T64" s="4">
        <f t="shared" si="19"/>
        <v>115.69671739656999</v>
      </c>
    </row>
    <row r="65" spans="17:20">
      <c r="Q65" s="3">
        <v>19.5</v>
      </c>
      <c r="R65" s="4">
        <f t="shared" si="17"/>
        <v>135.04464480434001</v>
      </c>
      <c r="S65" s="4">
        <f t="shared" si="18"/>
        <v>128.26316407221199</v>
      </c>
      <c r="T65" s="4">
        <f t="shared" si="19"/>
        <v>116.777777017969</v>
      </c>
    </row>
    <row r="66" spans="17:20">
      <c r="Q66" s="3">
        <v>20</v>
      </c>
      <c r="R66" s="4">
        <f t="shared" si="17"/>
        <v>135.95437708260499</v>
      </c>
      <c r="S66" s="4">
        <f t="shared" si="18"/>
        <v>129.124066890119</v>
      </c>
      <c r="T66" s="4">
        <f t="shared" si="19"/>
        <v>117.82640352238499</v>
      </c>
    </row>
  </sheetData>
  <mergeCells count="262">
    <mergeCell ref="B44:O55"/>
    <mergeCell ref="Q9:S10"/>
    <mergeCell ref="V9:W14"/>
    <mergeCell ref="W7:W8"/>
    <mergeCell ref="AO6:AO10"/>
    <mergeCell ref="AO12:AO13"/>
    <mergeCell ref="AO14:AO17"/>
    <mergeCell ref="AO19:AO20"/>
    <mergeCell ref="AO22:AO23"/>
    <mergeCell ref="AO24:AO25"/>
    <mergeCell ref="B14:O19"/>
    <mergeCell ref="Q17:R18"/>
    <mergeCell ref="S17:T18"/>
    <mergeCell ref="U17:V18"/>
    <mergeCell ref="W17:X18"/>
    <mergeCell ref="Y17:Z18"/>
    <mergeCell ref="AA17:AB18"/>
    <mergeCell ref="AC17:AD18"/>
    <mergeCell ref="D22:E23"/>
    <mergeCell ref="F22:G23"/>
    <mergeCell ref="H22:I23"/>
    <mergeCell ref="J22:K23"/>
    <mergeCell ref="L22:M23"/>
    <mergeCell ref="N22:O23"/>
    <mergeCell ref="Q11:S12"/>
    <mergeCell ref="Q13:S14"/>
    <mergeCell ref="Q4:S8"/>
    <mergeCell ref="T7:T8"/>
    <mergeCell ref="T9:T10"/>
    <mergeCell ref="T11:T12"/>
    <mergeCell ref="T13:T14"/>
    <mergeCell ref="U7:U8"/>
    <mergeCell ref="U9:U10"/>
    <mergeCell ref="U11:U12"/>
    <mergeCell ref="U13:U14"/>
    <mergeCell ref="V7:V8"/>
    <mergeCell ref="D42:E42"/>
    <mergeCell ref="F42:G42"/>
    <mergeCell ref="H42:I42"/>
    <mergeCell ref="J42:K42"/>
    <mergeCell ref="L42:M42"/>
    <mergeCell ref="N42:O42"/>
    <mergeCell ref="D43:E43"/>
    <mergeCell ref="F43:G43"/>
    <mergeCell ref="H43:I43"/>
    <mergeCell ref="J43:K43"/>
    <mergeCell ref="L43:M43"/>
    <mergeCell ref="N43:O43"/>
    <mergeCell ref="D40:E40"/>
    <mergeCell ref="F40:G40"/>
    <mergeCell ref="H40:I40"/>
    <mergeCell ref="J40:K40"/>
    <mergeCell ref="L40:M40"/>
    <mergeCell ref="N40:O40"/>
    <mergeCell ref="D41:E41"/>
    <mergeCell ref="F41:G41"/>
    <mergeCell ref="H41:I41"/>
    <mergeCell ref="J41:K41"/>
    <mergeCell ref="L41:M41"/>
    <mergeCell ref="N41:O41"/>
    <mergeCell ref="D38:E38"/>
    <mergeCell ref="F38:G38"/>
    <mergeCell ref="H38:I38"/>
    <mergeCell ref="J38:K38"/>
    <mergeCell ref="L38:M38"/>
    <mergeCell ref="N38:O38"/>
    <mergeCell ref="D39:E39"/>
    <mergeCell ref="F39:G39"/>
    <mergeCell ref="H39:I39"/>
    <mergeCell ref="J39:K39"/>
    <mergeCell ref="L39:M39"/>
    <mergeCell ref="N39:O39"/>
    <mergeCell ref="D36:E36"/>
    <mergeCell ref="F36:G36"/>
    <mergeCell ref="H36:I36"/>
    <mergeCell ref="J36:K36"/>
    <mergeCell ref="L36:M36"/>
    <mergeCell ref="N36:O36"/>
    <mergeCell ref="AG36:AM36"/>
    <mergeCell ref="D37:E37"/>
    <mergeCell ref="F37:G37"/>
    <mergeCell ref="H37:I37"/>
    <mergeCell ref="J37:K37"/>
    <mergeCell ref="L37:M37"/>
    <mergeCell ref="N37:O37"/>
    <mergeCell ref="D34:E34"/>
    <mergeCell ref="F34:G34"/>
    <mergeCell ref="H34:I34"/>
    <mergeCell ref="J34:K34"/>
    <mergeCell ref="L34:M34"/>
    <mergeCell ref="N34:O34"/>
    <mergeCell ref="D35:E35"/>
    <mergeCell ref="F35:G35"/>
    <mergeCell ref="H35:I35"/>
    <mergeCell ref="J35:K35"/>
    <mergeCell ref="L35:M35"/>
    <mergeCell ref="N35:O35"/>
    <mergeCell ref="D32:E32"/>
    <mergeCell ref="F32:G32"/>
    <mergeCell ref="H32:I32"/>
    <mergeCell ref="J32:K32"/>
    <mergeCell ref="L32:M32"/>
    <mergeCell ref="N32:O32"/>
    <mergeCell ref="D33:E33"/>
    <mergeCell ref="F33:G33"/>
    <mergeCell ref="H33:I33"/>
    <mergeCell ref="J33:K33"/>
    <mergeCell ref="L33:M33"/>
    <mergeCell ref="N33:O33"/>
    <mergeCell ref="D30:E30"/>
    <mergeCell ref="F30:G30"/>
    <mergeCell ref="H30:I30"/>
    <mergeCell ref="J30:K30"/>
    <mergeCell ref="L30:M30"/>
    <mergeCell ref="N30:O30"/>
    <mergeCell ref="D31:E31"/>
    <mergeCell ref="F31:G31"/>
    <mergeCell ref="H31:I31"/>
    <mergeCell ref="J31:K31"/>
    <mergeCell ref="L31:M31"/>
    <mergeCell ref="N31:O31"/>
    <mergeCell ref="D28:E28"/>
    <mergeCell ref="F28:G28"/>
    <mergeCell ref="H28:I28"/>
    <mergeCell ref="J28:K28"/>
    <mergeCell ref="L28:M28"/>
    <mergeCell ref="N28:O28"/>
    <mergeCell ref="D29:E29"/>
    <mergeCell ref="F29:G29"/>
    <mergeCell ref="H29:I29"/>
    <mergeCell ref="J29:K29"/>
    <mergeCell ref="L29:M29"/>
    <mergeCell ref="N29:O29"/>
    <mergeCell ref="D26:E26"/>
    <mergeCell ref="F26:G26"/>
    <mergeCell ref="H26:I26"/>
    <mergeCell ref="J26:K26"/>
    <mergeCell ref="L26:M26"/>
    <mergeCell ref="N26:O26"/>
    <mergeCell ref="D27:E27"/>
    <mergeCell ref="F27:G27"/>
    <mergeCell ref="H27:I27"/>
    <mergeCell ref="J27:K27"/>
    <mergeCell ref="L27:M27"/>
    <mergeCell ref="N27:O27"/>
    <mergeCell ref="D24:E24"/>
    <mergeCell ref="F24:G24"/>
    <mergeCell ref="H24:I24"/>
    <mergeCell ref="J24:K24"/>
    <mergeCell ref="L24:M24"/>
    <mergeCell ref="N24:O24"/>
    <mergeCell ref="D25:E25"/>
    <mergeCell ref="F25:G25"/>
    <mergeCell ref="H25:I25"/>
    <mergeCell ref="J25:K25"/>
    <mergeCell ref="L25:M25"/>
    <mergeCell ref="N25:O25"/>
    <mergeCell ref="B21:O21"/>
    <mergeCell ref="Q21:R21"/>
    <mergeCell ref="S21:T21"/>
    <mergeCell ref="U21:V21"/>
    <mergeCell ref="W21:X21"/>
    <mergeCell ref="Y21:Z21"/>
    <mergeCell ref="AA21:AB21"/>
    <mergeCell ref="AC21:AD21"/>
    <mergeCell ref="Q22:R22"/>
    <mergeCell ref="S22:T22"/>
    <mergeCell ref="U22:V22"/>
    <mergeCell ref="W22:X22"/>
    <mergeCell ref="Y22:Z22"/>
    <mergeCell ref="AA22:AB22"/>
    <mergeCell ref="AC22:AD22"/>
    <mergeCell ref="B22:B23"/>
    <mergeCell ref="C22:C23"/>
    <mergeCell ref="Q19:R19"/>
    <mergeCell ref="S19:T19"/>
    <mergeCell ref="U19:V19"/>
    <mergeCell ref="W19:X19"/>
    <mergeCell ref="Y19:Z19"/>
    <mergeCell ref="AA19:AB19"/>
    <mergeCell ref="AC19:AD19"/>
    <mergeCell ref="Q20:R20"/>
    <mergeCell ref="S20:T20"/>
    <mergeCell ref="U20:V20"/>
    <mergeCell ref="W20:X20"/>
    <mergeCell ref="Y20:Z20"/>
    <mergeCell ref="AA20:AB20"/>
    <mergeCell ref="AC20:AD20"/>
    <mergeCell ref="B13:C13"/>
    <mergeCell ref="D13:E13"/>
    <mergeCell ref="F13:G13"/>
    <mergeCell ref="H13:I13"/>
    <mergeCell ref="J13:K13"/>
    <mergeCell ref="L13:M13"/>
    <mergeCell ref="N13:O13"/>
    <mergeCell ref="AG13:AM13"/>
    <mergeCell ref="Q16:AD16"/>
    <mergeCell ref="B11:C11"/>
    <mergeCell ref="D11:E11"/>
    <mergeCell ref="F11:G11"/>
    <mergeCell ref="H11:I11"/>
    <mergeCell ref="J11:K11"/>
    <mergeCell ref="L11:M11"/>
    <mergeCell ref="N11:O11"/>
    <mergeCell ref="B12:C12"/>
    <mergeCell ref="D12:E12"/>
    <mergeCell ref="F12:G12"/>
    <mergeCell ref="H12:I12"/>
    <mergeCell ref="J12:K12"/>
    <mergeCell ref="L12:M12"/>
    <mergeCell ref="N12:O12"/>
    <mergeCell ref="B9:C9"/>
    <mergeCell ref="D9:E9"/>
    <mergeCell ref="F9:G9"/>
    <mergeCell ref="H9:I9"/>
    <mergeCell ref="J9:K9"/>
    <mergeCell ref="L9:M9"/>
    <mergeCell ref="N9:O9"/>
    <mergeCell ref="B10:C10"/>
    <mergeCell ref="D10:E10"/>
    <mergeCell ref="F10:G10"/>
    <mergeCell ref="H10:I10"/>
    <mergeCell ref="J10:K10"/>
    <mergeCell ref="L10:M10"/>
    <mergeCell ref="N10:O10"/>
    <mergeCell ref="B7:C7"/>
    <mergeCell ref="D7:E7"/>
    <mergeCell ref="F7:G7"/>
    <mergeCell ref="H7:I7"/>
    <mergeCell ref="J7:K7"/>
    <mergeCell ref="L7:M7"/>
    <mergeCell ref="N7:O7"/>
    <mergeCell ref="B8:C8"/>
    <mergeCell ref="D8:E8"/>
    <mergeCell ref="F8:G8"/>
    <mergeCell ref="H8:I8"/>
    <mergeCell ref="J8:K8"/>
    <mergeCell ref="L8:M8"/>
    <mergeCell ref="N8:O8"/>
    <mergeCell ref="AG2:AM2"/>
    <mergeCell ref="AO2:AR2"/>
    <mergeCell ref="B3:O3"/>
    <mergeCell ref="Q3:W3"/>
    <mergeCell ref="AO3:AQ3"/>
    <mergeCell ref="B4:C4"/>
    <mergeCell ref="AO4:AQ4"/>
    <mergeCell ref="B5:C5"/>
    <mergeCell ref="B6:C6"/>
    <mergeCell ref="D6:E6"/>
    <mergeCell ref="F6:G6"/>
    <mergeCell ref="H6:I6"/>
    <mergeCell ref="J6:K6"/>
    <mergeCell ref="L6:M6"/>
    <mergeCell ref="N6:O6"/>
    <mergeCell ref="D4:E5"/>
    <mergeCell ref="F4:G5"/>
    <mergeCell ref="H4:I5"/>
    <mergeCell ref="J4:K5"/>
    <mergeCell ref="L4:M5"/>
    <mergeCell ref="N4:O5"/>
    <mergeCell ref="T4:U6"/>
    <mergeCell ref="V4:W6"/>
  </mergeCells>
  <pageMargins left="0.7" right="0.7" top="0.75" bottom="0.75" header="0.3" footer="0.3"/>
  <pageSetup paperSize="9" orientation="portrait"/>
  <ignoredErrors>
    <ignoredError sqref="AQ20:AQ21 AQ15"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Calculs</vt:lpstr>
      <vt:lpstr>Tableaux généraux</vt:lpstr>
      <vt:lpstr>Tableaux - méthode pressio</vt:lpstr>
      <vt:lpstr>Tableaux - méthode pénétro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khlif Nada</cp:lastModifiedBy>
  <dcterms:created xsi:type="dcterms:W3CDTF">2015-06-05T18:17:00Z</dcterms:created>
  <dcterms:modified xsi:type="dcterms:W3CDTF">2025-08-29T08:52:49Z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7C9ED43AD8214C719AEC03431F228E42_12</vt:lpwstr>
  </property>
  <property fmtid="{D5CDD505-2E9C-101B-9397-08002B2CF9AE}" pid="3" name="KSOProductBuildVer">
    <vt:lpwstr>1036-12.2.0.21931</vt:lpwstr>
  </property>
</Properties>
</file>